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12023\SOP\RIMS\2022-23\Qtr-III\"/>
    </mc:Choice>
  </mc:AlternateContent>
  <bookViews>
    <workbookView xWindow="0" yWindow="0" windowWidth="28800" windowHeight="12315"/>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Meter testing"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131" hidden="1">[1]zpF0001!$O$149:$O$158</definedName>
    <definedName name="_132" hidden="1">[1]zpF0001!$A$39:$CB$78</definedName>
    <definedName name="_brh1" hidden="1">{"'Sheet1'!$A$4386:$N$4591"}</definedName>
    <definedName name="_Dist_Bin" localSheetId="7" hidden="1">#REF!</definedName>
    <definedName name="_Dist_Bin" hidden="1">#REF!</definedName>
    <definedName name="_Dist_Values" localSheetId="7"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_4">[2]shp_T_D_drive!$A$1:$AE$31</definedName>
    <definedName name="a_5">[3]shp_T_D_drive!$A$1:$AE$31</definedName>
    <definedName name="a_6">[3]shp_T_D_drive!$A$1:$AE$31</definedName>
    <definedName name="a_8">[2]shp_T_D_drive!$A$1:$AE$31</definedName>
    <definedName name="a_9">[2]shp_T_D_drive!$A$1:$AE$31</definedName>
    <definedName name="aa_4">[2]shp_T_D_drive!$A$1:$AE$31</definedName>
    <definedName name="aa_5">[3]shp_T_D_drive!$A$1:$AE$31</definedName>
    <definedName name="aa_6">[3]shp_T_D_drive!$A$1:$AE$31</definedName>
    <definedName name="aa_8">[2]shp_T_D_drive!$A$1:$AE$31</definedName>
    <definedName name="aa_9">[2]shp_T_D_drive!$A$1:$AE$31</definedName>
    <definedName name="aaaa" localSheetId="7" hidden="1">#REF!</definedName>
    <definedName name="aaaa" hidden="1">#REF!</definedName>
    <definedName name="ann" hidden="1">{"'Sheet1'!$A$4386:$N$4591"}</definedName>
    <definedName name="AprilMay" hidden="1">{"'Sheet1'!$A$4386:$N$4591"}</definedName>
    <definedName name="as_4">[2]shp_T_D_drive!$A$1:$AE$31</definedName>
    <definedName name="as_5">[3]shp_T_D_drive!$A$1:$AE$31</definedName>
    <definedName name="as_6">[3]shp_T_D_drive!$A$1:$AE$31</definedName>
    <definedName name="as_8">[2]shp_T_D_drive!$A$1:$AE$31</definedName>
    <definedName name="as_9">[2]shp_T_D_drive!$A$1:$AE$31</definedName>
    <definedName name="brh" hidden="1">{"'Sheet1'!$A$4386:$N$4591"}</definedName>
    <definedName name="_xlnm.Database" localSheetId="8">#REF!</definedName>
    <definedName name="_xlnm.Database">#REF!</definedName>
    <definedName name="detail">[2]shp_T_D_drive!$A$1:$AE$31</definedName>
    <definedName name="dfd" hidden="1">{"'Sheet1'!$A$4386:$N$4591"}</definedName>
    <definedName name="DID" hidden="1">{"'Sheet1'!$A$4386:$N$4591"}</definedName>
    <definedName name="DIS" hidden="1">{"'Sheet1'!$A$4386:$N$4591"}</definedName>
    <definedName name="ee">#REF!</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'[4]mpmla wise pp0001'!$A$166:$A$172</definedName>
    <definedName name="po" hidden="1">[5]zpF0001!$E$39:$E$78</definedName>
    <definedName name="_xlnm.Print_Area" localSheetId="8">'Meter testing'!$B$1:$I$12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q_4">[6]shp_T_D_drive!$A$1:$AE$31</definedName>
    <definedName name="q_5">[5]shp_T_D_drive!$A$1:$AE$31</definedName>
    <definedName name="q_6">[5]shp_T_D_drive!$A$1:$AE$31</definedName>
    <definedName name="q_8">[6]shp_T_D_drive!$A$1:$AE$31</definedName>
    <definedName name="q_9">[6]shp_T_D_drive!$A$1:$AE$31</definedName>
    <definedName name="ss_4">[2]shp_T_D_drive!$A$1:$AE$31</definedName>
    <definedName name="ss_5">[3]shp_T_D_drive!$A$1:$AE$31</definedName>
    <definedName name="ss_6">[3]shp_T_D_drive!$A$1:$AE$31</definedName>
    <definedName name="ss_8">[2]shp_T_D_drive!$A$1:$AE$31</definedName>
    <definedName name="ss_9">[2]shp_T_D_drive!$A$1:$AE$31</definedName>
    <definedName name="t_4">[2]shp_T_D_drive!$A$1:$AE$31</definedName>
    <definedName name="t_5">[3]shp_T_D_drive!$A$1:$AE$31</definedName>
    <definedName name="t_6">[3]shp_T_D_drive!$A$1:$AE$31</definedName>
    <definedName name="t_8">[2]shp_T_D_drive!$A$1:$AE$31</definedName>
    <definedName name="t_9">[2]shp_T_D_drive!$A$1:$AE$31</definedName>
    <definedName name="uyuy" localSheetId="7" hidden="1">#REF!</definedName>
    <definedName name="uyuy" hidden="1">#REF!</definedName>
  </definedNames>
  <calcPr calcId="152511"/>
</workbook>
</file>

<file path=xl/calcChain.xml><?xml version="1.0" encoding="utf-8"?>
<calcChain xmlns="http://schemas.openxmlformats.org/spreadsheetml/2006/main">
  <c r="H11" i="36" l="1"/>
  <c r="F11" i="36"/>
  <c r="E11" i="36"/>
  <c r="G10" i="36"/>
  <c r="I10" i="36" s="1"/>
  <c r="G9" i="36"/>
  <c r="G11" i="36" s="1"/>
  <c r="H7" i="36"/>
  <c r="F7" i="36"/>
  <c r="K29" i="35"/>
  <c r="D29" i="35"/>
  <c r="K20" i="35"/>
  <c r="E20" i="35"/>
  <c r="D20" i="35"/>
  <c r="H13" i="35"/>
  <c r="H22" i="35" s="1"/>
  <c r="D13" i="35"/>
  <c r="D22" i="35" s="1"/>
  <c r="K11" i="35"/>
  <c r="E11" i="35"/>
  <c r="D11" i="35"/>
  <c r="I9" i="36" l="1"/>
  <c r="I11" i="36" s="1"/>
  <c r="F17" i="24" l="1"/>
  <c r="F27" i="24" l="1"/>
  <c r="G21" i="25" l="1"/>
  <c r="F21" i="25"/>
  <c r="D33" i="33"/>
  <c r="E23" i="33"/>
  <c r="D19" i="32"/>
  <c r="M25" i="32" l="1"/>
  <c r="M24" i="32"/>
  <c r="M22" i="32"/>
  <c r="F16" i="26"/>
  <c r="F26" i="26"/>
  <c r="F25" i="26"/>
  <c r="D19" i="31" l="1"/>
  <c r="D11" i="31"/>
  <c r="D19" i="33"/>
  <c r="D38" i="32"/>
  <c r="D36" i="32"/>
  <c r="D34" i="32"/>
  <c r="D33" i="32"/>
  <c r="D29" i="32"/>
  <c r="D23" i="33"/>
  <c r="D21" i="33"/>
  <c r="D18" i="33"/>
  <c r="D14" i="33"/>
  <c r="D27" i="24"/>
  <c r="D17" i="24"/>
  <c r="G28" i="26" l="1"/>
  <c r="G27" i="26"/>
  <c r="G26" i="26"/>
  <c r="G25" i="26"/>
  <c r="G22" i="26"/>
  <c r="G21" i="26"/>
  <c r="G20" i="26"/>
  <c r="G19" i="26"/>
  <c r="G18" i="26"/>
  <c r="G17" i="26"/>
  <c r="G16" i="26"/>
  <c r="G32" i="24" l="1"/>
  <c r="F32" i="24" s="1"/>
  <c r="F34" i="24" s="1"/>
  <c r="F35" i="24" s="1"/>
  <c r="F37" i="24" s="1"/>
  <c r="F38" i="24" s="1"/>
  <c r="G22" i="24"/>
  <c r="G25" i="24" s="1"/>
  <c r="G26" i="24" s="1"/>
  <c r="G28" i="24" s="1"/>
  <c r="G29" i="24" s="1"/>
  <c r="F25" i="24"/>
  <c r="F26" i="24" s="1"/>
  <c r="F28" i="24" s="1"/>
  <c r="F29" i="24" s="1"/>
  <c r="G26" i="25"/>
  <c r="F26" i="25"/>
  <c r="G25" i="25"/>
  <c r="F25" i="25"/>
  <c r="G24" i="25"/>
  <c r="F24" i="25"/>
  <c r="G16" i="25"/>
  <c r="F16" i="25"/>
  <c r="G34" i="26"/>
  <c r="G33" i="26"/>
  <c r="F32" i="26"/>
  <c r="F28" i="26"/>
  <c r="F27" i="26"/>
  <c r="F21" i="26"/>
  <c r="F20" i="26"/>
  <c r="F19" i="26"/>
  <c r="F18" i="26"/>
  <c r="G23" i="26"/>
  <c r="G30" i="26" s="1"/>
  <c r="F38" i="32"/>
  <c r="G37" i="32"/>
  <c r="G39" i="32" s="1"/>
  <c r="F36" i="32"/>
  <c r="F34" i="32"/>
  <c r="F33" i="32"/>
  <c r="F37" i="32" s="1"/>
  <c r="F39" i="32" s="1"/>
  <c r="G32" i="32"/>
  <c r="G40" i="32" s="1"/>
  <c r="F32" i="32"/>
  <c r="F40" i="32" s="1"/>
  <c r="G30" i="32"/>
  <c r="F23" i="32"/>
  <c r="G23" i="32" s="1"/>
  <c r="F22" i="32"/>
  <c r="F24" i="32" s="1"/>
  <c r="G24" i="32" s="1"/>
  <c r="G21" i="32"/>
  <c r="G19" i="32"/>
  <c r="G18" i="32"/>
  <c r="G16" i="32"/>
  <c r="G15" i="32"/>
  <c r="F14" i="32"/>
  <c r="G14" i="32" s="1"/>
  <c r="G17" i="32" s="1"/>
  <c r="G38" i="33"/>
  <c r="F37" i="33"/>
  <c r="G36" i="33"/>
  <c r="F36" i="33"/>
  <c r="G34" i="33"/>
  <c r="F34" i="33"/>
  <c r="G33" i="33"/>
  <c r="G29" i="33"/>
  <c r="F23" i="33"/>
  <c r="F38" i="33" s="1"/>
  <c r="G22" i="33"/>
  <c r="G24" i="33" s="1"/>
  <c r="F22" i="33"/>
  <c r="F21" i="33"/>
  <c r="F19" i="33"/>
  <c r="F18" i="33"/>
  <c r="F33" i="33" s="1"/>
  <c r="G17" i="33"/>
  <c r="G32" i="33" s="1"/>
  <c r="F14" i="33"/>
  <c r="F29" i="33" s="1"/>
  <c r="G55" i="30"/>
  <c r="F55" i="30"/>
  <c r="G54" i="30"/>
  <c r="F54" i="30"/>
  <c r="G53" i="30"/>
  <c r="F53" i="30"/>
  <c r="G52" i="30"/>
  <c r="F52" i="30"/>
  <c r="G51" i="30"/>
  <c r="F51" i="30"/>
  <c r="G49" i="30"/>
  <c r="F49" i="30"/>
  <c r="G48" i="30"/>
  <c r="F48" i="30"/>
  <c r="G47" i="30"/>
  <c r="F47" i="30"/>
  <c r="G46" i="30"/>
  <c r="G44" i="30"/>
  <c r="F44" i="30"/>
  <c r="G32" i="30"/>
  <c r="F32" i="30"/>
  <c r="G17" i="30"/>
  <c r="F17" i="30"/>
  <c r="D33" i="31"/>
  <c r="D12" i="31"/>
  <c r="D15" i="31"/>
  <c r="D35" i="31" l="1"/>
  <c r="F29" i="26"/>
  <c r="F22" i="24"/>
  <c r="G34" i="24"/>
  <c r="G35" i="24" s="1"/>
  <c r="G37" i="24" s="1"/>
  <c r="G38" i="24" s="1"/>
  <c r="F23" i="26"/>
  <c r="G29" i="26"/>
  <c r="G31" i="26" s="1"/>
  <c r="G22" i="32"/>
  <c r="F17" i="32"/>
  <c r="F25" i="32" s="1"/>
  <c r="G25" i="32" s="1"/>
  <c r="G39" i="33"/>
  <c r="G25" i="33"/>
  <c r="G40" i="33" s="1"/>
  <c r="G37" i="33"/>
  <c r="F24" i="33"/>
  <c r="F39" i="33" s="1"/>
  <c r="F17" i="33"/>
  <c r="F30" i="26" l="1"/>
  <c r="F31" i="26"/>
  <c r="F25" i="33"/>
  <c r="F40" i="33" s="1"/>
  <c r="F32" i="33"/>
  <c r="D28" i="26" l="1"/>
  <c r="D27" i="26"/>
  <c r="D25" i="26"/>
  <c r="D26" i="26"/>
  <c r="D22" i="26"/>
  <c r="D20" i="26"/>
  <c r="D19" i="26"/>
  <c r="D18" i="26"/>
  <c r="D17" i="26"/>
  <c r="D16" i="26"/>
  <c r="D15" i="26"/>
  <c r="C26" i="31" l="1"/>
  <c r="C31" i="31"/>
  <c r="C11" i="31"/>
  <c r="C12" i="31"/>
  <c r="C28" i="31"/>
  <c r="C29" i="31"/>
  <c r="C24" i="31"/>
  <c r="C23" i="31"/>
  <c r="E30" i="31" l="1"/>
  <c r="E23" i="32" l="1"/>
  <c r="D22" i="32"/>
  <c r="E22" i="32" s="1"/>
  <c r="E21" i="32"/>
  <c r="E19" i="32"/>
  <c r="E18" i="32"/>
  <c r="E16" i="32"/>
  <c r="E15" i="32"/>
  <c r="E14" i="32"/>
  <c r="D17" i="32"/>
  <c r="E17" i="32" l="1"/>
  <c r="D24" i="32"/>
  <c r="E24" i="32" s="1"/>
  <c r="D25" i="32" l="1"/>
  <c r="E25" i="32" s="1"/>
  <c r="E26" i="31" l="1"/>
  <c r="D32" i="26" l="1"/>
  <c r="I25" i="26" l="1"/>
  <c r="H25" i="26" l="1"/>
  <c r="D53" i="30" l="1"/>
  <c r="D51" i="30"/>
  <c r="D49" i="30"/>
  <c r="D48" i="30"/>
  <c r="E49" i="30"/>
  <c r="E48" i="30"/>
  <c r="E53" i="30"/>
  <c r="E51" i="30"/>
  <c r="E21" i="26" l="1"/>
  <c r="E22" i="33"/>
  <c r="E24" i="33" s="1"/>
  <c r="D29" i="26" l="1"/>
  <c r="E29" i="26"/>
  <c r="H22" i="26"/>
  <c r="I22" i="26"/>
  <c r="D25" i="24" l="1"/>
  <c r="H29" i="26" l="1"/>
  <c r="I29" i="26"/>
  <c r="D26" i="24"/>
  <c r="F14" i="25"/>
  <c r="F14" i="26" s="1"/>
  <c r="F13" i="32" s="1"/>
  <c r="F13" i="33" s="1"/>
  <c r="F13" i="30" s="1"/>
  <c r="D14" i="25"/>
  <c r="D14" i="26" s="1"/>
  <c r="D13" i="32" s="1"/>
  <c r="D13" i="33" s="1"/>
  <c r="D13" i="30" s="1"/>
  <c r="E34" i="26" l="1"/>
  <c r="E33" i="26"/>
  <c r="E30" i="32" l="1"/>
  <c r="D28" i="24"/>
  <c r="D29" i="24" s="1"/>
  <c r="E22" i="24"/>
  <c r="D22" i="24"/>
  <c r="D16" i="25" s="1"/>
  <c r="H15" i="32"/>
  <c r="E16" i="25" l="1"/>
  <c r="E25" i="24"/>
  <c r="E26" i="24" s="1"/>
  <c r="E28" i="24" s="1"/>
  <c r="E29" i="24" s="1"/>
  <c r="D23" i="26"/>
  <c r="D21" i="25" l="1"/>
  <c r="D31" i="26"/>
  <c r="E23" i="26"/>
  <c r="P32" i="33"/>
  <c r="E11" i="31"/>
  <c r="P30" i="33"/>
  <c r="P31" i="33"/>
  <c r="P33" i="33"/>
  <c r="P34" i="33"/>
  <c r="P35" i="33"/>
  <c r="P36" i="33"/>
  <c r="P38" i="33"/>
  <c r="P29" i="33"/>
  <c r="Q29" i="33"/>
  <c r="E21" i="25" l="1"/>
  <c r="E31" i="26"/>
  <c r="P37" i="33"/>
  <c r="E17" i="33"/>
  <c r="D22" i="33"/>
  <c r="E37" i="32"/>
  <c r="E32" i="32"/>
  <c r="D32" i="32"/>
  <c r="E30" i="26"/>
  <c r="H21" i="26"/>
  <c r="D44" i="30"/>
  <c r="E44" i="30"/>
  <c r="I21" i="26"/>
  <c r="I29" i="24"/>
  <c r="E39" i="32" l="1"/>
  <c r="E54" i="30" s="1"/>
  <c r="E52" i="30"/>
  <c r="E47" i="30"/>
  <c r="P39" i="33"/>
  <c r="E32" i="33"/>
  <c r="E24" i="25" s="1"/>
  <c r="P40" i="33"/>
  <c r="E25" i="33"/>
  <c r="E32" i="24" s="1"/>
  <c r="D32" i="24" s="1"/>
  <c r="H22" i="30"/>
  <c r="H23" i="30"/>
  <c r="H24" i="30"/>
  <c r="H25" i="30"/>
  <c r="H21" i="30"/>
  <c r="H15" i="30"/>
  <c r="H17" i="30"/>
  <c r="H18" i="30"/>
  <c r="C33" i="31"/>
  <c r="C15" i="31"/>
  <c r="H29" i="24"/>
  <c r="E40" i="32" l="1"/>
  <c r="E55" i="30" s="1"/>
  <c r="C35" i="31"/>
  <c r="E35" i="31" s="1"/>
  <c r="E46" i="30"/>
  <c r="D38" i="33"/>
  <c r="D36" i="33"/>
  <c r="D34" i="33"/>
  <c r="D29" i="33"/>
  <c r="E34" i="33"/>
  <c r="E33" i="33"/>
  <c r="D17" i="33"/>
  <c r="E29" i="33"/>
  <c r="E36" i="33"/>
  <c r="D37" i="32"/>
  <c r="D52" i="30" s="1"/>
  <c r="D47" i="30"/>
  <c r="E38" i="33" l="1"/>
  <c r="D39" i="32"/>
  <c r="E37" i="33"/>
  <c r="D32" i="33"/>
  <c r="D24" i="25" s="1"/>
  <c r="D54" i="30" l="1"/>
  <c r="D40" i="32"/>
  <c r="E39" i="33"/>
  <c r="E25" i="25" s="1"/>
  <c r="D55" i="30" l="1"/>
  <c r="I55" i="30"/>
  <c r="E40" i="33"/>
  <c r="E26" i="25" s="1"/>
  <c r="H58" i="26"/>
  <c r="E67" i="32" l="1"/>
  <c r="D67" i="32"/>
  <c r="F66" i="32"/>
  <c r="F65" i="32"/>
  <c r="F67" i="32" l="1"/>
  <c r="D68" i="30" l="1"/>
  <c r="G58" i="26" l="1"/>
  <c r="F58" i="26"/>
  <c r="E58" i="26"/>
  <c r="D57" i="26"/>
  <c r="I28" i="26" l="1"/>
  <c r="I27" i="26"/>
  <c r="E25" i="31"/>
  <c r="I19" i="26"/>
  <c r="H18" i="26"/>
  <c r="E29" i="31"/>
  <c r="E23"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1" i="25"/>
  <c r="I26" i="25"/>
  <c r="I25" i="25"/>
  <c r="I24" i="25"/>
  <c r="H24" i="25"/>
  <c r="I16" i="25"/>
  <c r="H16" i="25"/>
  <c r="D59" i="32"/>
  <c r="I17" i="24"/>
  <c r="H17" i="24"/>
  <c r="H27"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I16" i="26"/>
  <c r="E24" i="31"/>
  <c r="H16" i="26"/>
  <c r="H20" i="26"/>
  <c r="I17" i="26"/>
  <c r="I26" i="24"/>
  <c r="I30" i="26" l="1"/>
  <c r="I32" i="33"/>
  <c r="H32" i="33"/>
  <c r="I52" i="30"/>
  <c r="H52" i="30"/>
  <c r="I47" i="30"/>
  <c r="H47" i="30"/>
  <c r="I37" i="33"/>
  <c r="I32" i="32"/>
  <c r="O32" i="33"/>
  <c r="H39" i="32"/>
  <c r="I23" i="26"/>
  <c r="I39" i="33" l="1"/>
  <c r="I54" i="30"/>
  <c r="H54" i="30"/>
  <c r="O40" i="33"/>
  <c r="I40" i="32"/>
  <c r="F58" i="32"/>
  <c r="F57" i="32"/>
  <c r="H40" i="32"/>
  <c r="E33" i="31"/>
  <c r="H55" i="30" l="1"/>
  <c r="I40" i="33"/>
  <c r="E15" i="31" l="1"/>
  <c r="I26" i="26"/>
  <c r="N37" i="33"/>
  <c r="H22" i="33"/>
  <c r="D37" i="33"/>
  <c r="H37" i="33" s="1"/>
  <c r="D24" i="33"/>
  <c r="H24" i="33" s="1"/>
  <c r="D39" i="33" l="1"/>
  <c r="N39" i="33"/>
  <c r="D25" i="33"/>
  <c r="H26" i="26" l="1"/>
  <c r="H39" i="33"/>
  <c r="D25" i="25"/>
  <c r="H25" i="25" s="1"/>
  <c r="H25" i="33"/>
  <c r="D40" i="33"/>
  <c r="N40" i="33"/>
  <c r="H23" i="26"/>
  <c r="D30" i="26"/>
  <c r="H30" i="26" s="1"/>
  <c r="D34" i="24" l="1"/>
  <c r="D35" i="24" s="1"/>
  <c r="H32" i="24"/>
  <c r="H40" i="33"/>
  <c r="D26" i="25"/>
  <c r="H26" i="25" s="1"/>
  <c r="D37" i="24" l="1"/>
  <c r="H37" i="24" s="1"/>
  <c r="H34" i="24"/>
  <c r="E34" i="24"/>
  <c r="E35" i="24" s="1"/>
  <c r="I32" i="24"/>
  <c r="H35" i="24" l="1"/>
  <c r="E37" i="24"/>
  <c r="I37" i="24" s="1"/>
  <c r="I35" i="24"/>
  <c r="D38" i="24"/>
  <c r="H38" i="24" s="1"/>
  <c r="I34" i="24"/>
  <c r="E38" i="24" l="1"/>
  <c r="I38" i="24" s="1"/>
</calcChain>
</file>

<file path=xl/sharedStrings.xml><?xml version="1.0" encoding="utf-8"?>
<sst xmlns="http://schemas.openxmlformats.org/spreadsheetml/2006/main" count="662" uniqueCount="290">
  <si>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</si>
  <si>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</si>
  <si>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</si>
  <si>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</si>
  <si>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</si>
  <si>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</si>
  <si>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</si>
  <si>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</si>
  <si>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</si>
  <si>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</si>
  <si>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</si>
  <si>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</si>
  <si>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</si>
  <si>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</si>
  <si>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</si>
  <si>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</si>
  <si>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</si>
  <si>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</si>
  <si>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</si>
  <si>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</si>
  <si>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</si>
  <si>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</si>
  <si>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</si>
  <si>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</si>
  <si>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</si>
  <si>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</si>
  <si>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</si>
  <si>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</si>
  <si>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</si>
  <si>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</si>
  <si>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</si>
  <si>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</si>
  <si>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</si>
  <si>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</si>
  <si>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</si>
  <si>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</si>
  <si>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</si>
  <si>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</si>
  <si>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</si>
  <si>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</si>
  <si>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</si>
  <si>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</si>
  <si>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</si>
  <si>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</si>
  <si>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</si>
  <si>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</si>
  <si>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</si>
  <si>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</si>
  <si>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</si>
  <si>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</si>
  <si>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</si>
  <si>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</si>
  <si>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</si>
  <si>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</si>
  <si>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</si>
  <si>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</si>
  <si>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</si>
  <si>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</si>
  <si>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</si>
  <si>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</si>
  <si>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</si>
  <si>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</si>
  <si>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</si>
  <si>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</si>
  <si>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</si>
  <si>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</si>
  <si>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</si>
  <si>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</si>
  <si>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</si>
  <si>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</si>
  <si>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</si>
  <si>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</si>
  <si>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</si>
  <si>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</si>
  <si>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</si>
  <si>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</si>
  <si>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</si>
  <si>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</si>
  <si>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</si>
  <si>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</si>
  <si>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</si>
  <si>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</si>
  <si>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</si>
  <si>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</si>
  <si>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</si>
  <si>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</si>
  <si>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</si>
  <si>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</si>
  <si>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</si>
  <si>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</si>
  <si>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</si>
  <si>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</si>
  <si>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</si>
  <si>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</si>
  <si>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</si>
  <si>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</si>
  <si>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</si>
  <si>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</si>
  <si>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</si>
  <si>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</si>
  <si>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</si>
  <si>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</si>
  <si>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</si>
  <si>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</si>
  <si>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</si>
  <si>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</si>
  <si>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</si>
  <si>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</si>
  <si>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</si>
  <si>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</si>
  <si>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</si>
  <si>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</si>
  <si>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</si>
  <si>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</si>
  <si>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</si>
  <si>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</si>
  <si>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</si>
  <si>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</si>
  <si>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</si>
  <si>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</si>
  <si>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</si>
  <si>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</si>
  <si>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</si>
  <si>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</si>
  <si>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</si>
  <si>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</si>
  <si>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</si>
  <si>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</si>
  <si>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</si>
  <si>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</si>
  <si>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</si>
  <si>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</si>
  <si>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</si>
  <si>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</si>
  <si>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</si>
  <si>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</si>
  <si>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</si>
  <si>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</si>
  <si>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</si>
  <si>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</si>
  <si>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</si>
  <si>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</si>
  <si>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</si>
  <si>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</si>
  <si>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</si>
  <si>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</si>
  <si>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</si>
  <si>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</si>
  <si>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</si>
  <si>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</si>
  <si>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</si>
  <si>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</si>
  <si>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</si>
  <si>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</si>
  <si>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</si>
  <si>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</si>
  <si>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</si>
  <si>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</si>
  <si>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</si>
  <si>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</si>
  <si>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</si>
  <si>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</si>
  <si>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</si>
  <si>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</si>
  <si>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</si>
  <si>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</si>
  <si>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</si>
  <si>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</si>
  <si>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</si>
  <si>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</si>
  <si>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</si>
  <si>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</si>
  <si>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</si>
  <si>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</si>
  <si>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</si>
  <si>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</si>
  <si>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</si>
  <si>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</si>
  <si>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</si>
  <si>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</si>
  <si>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</si>
  <si>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</si>
  <si>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</si>
  <si>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</si>
  <si>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</si>
  <si>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</si>
  <si>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</si>
  <si>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</si>
  <si>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</si>
  <si>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</si>
  <si>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</si>
  <si>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</si>
  <si>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</si>
  <si>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</si>
  <si>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</si>
  <si>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</si>
  <si>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</si>
  <si>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</si>
  <si>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</si>
  <si>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</si>
  <si>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</si>
  <si>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</si>
  <si>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</si>
  <si>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</si>
  <si>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</si>
  <si>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</si>
  <si>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</si>
  <si>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</si>
  <si>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</si>
  <si>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</si>
  <si>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</si>
  <si>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</si>
  <si>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</si>
  <si>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</si>
  <si>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</si>
  <si>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</si>
  <si>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</si>
  <si>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</si>
  <si>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</si>
  <si>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</si>
  <si>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</si>
  <si>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</si>
  <si>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</si>
  <si>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</si>
  <si>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</si>
  <si>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</si>
  <si>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</si>
  <si>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</si>
  <si>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</si>
  <si>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</si>
  <si>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</si>
  <si>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</si>
  <si>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</si>
  <si>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</si>
  <si>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</si>
  <si>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Oct-2022 to December-2022</t>
  </si>
  <si>
    <t>April 22 to December-22</t>
  </si>
  <si>
    <t>April to Dec-21</t>
  </si>
  <si>
    <t>Oct-2021 to December-2021</t>
  </si>
  <si>
    <t>YTD Q2</t>
  </si>
  <si>
    <t>PROFIT BEFORE TAX</t>
  </si>
  <si>
    <t>MGVCL  -  V  -  DISTRIBUTION - KEY DATA</t>
  </si>
  <si>
    <t xml:space="preserve">Dist losses in Urban&gt;25%, Industrial&gt;10% and GIDC&gt;5% feeders      </t>
  </si>
  <si>
    <t>Circle</t>
  </si>
  <si>
    <t>Q-III-Oct to Dec-22</t>
  </si>
  <si>
    <t>Q-III-Oct to Dec-21</t>
  </si>
  <si>
    <r>
      <t xml:space="preserve">Nos of feeders </t>
    </r>
    <r>
      <rPr>
        <b/>
        <sz val="10"/>
        <color rgb="FFFF0000"/>
        <rFont val="Leelawadee"/>
        <family val="2"/>
      </rPr>
      <t>having more than 5%</t>
    </r>
    <r>
      <rPr>
        <b/>
        <sz val="10"/>
        <rFont val="Leelawadee"/>
        <family val="2"/>
      </rPr>
      <t xml:space="preserve"> where losses</t>
    </r>
    <r>
      <rPr>
        <b/>
        <sz val="10"/>
        <color rgb="FFFF0000"/>
        <rFont val="Leelawadee"/>
        <family val="2"/>
      </rPr>
      <t xml:space="preserve"> increased</t>
    </r>
    <r>
      <rPr>
        <b/>
        <sz val="10"/>
        <rFont val="Leelawadee"/>
        <family val="2"/>
      </rPr>
      <t xml:space="preserve">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</si>
  <si>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</si>
  <si>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</si>
  <si>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</si>
  <si>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</si>
  <si>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</si>
  <si>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</si>
  <si>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</si>
  <si>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</si>
  <si>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</si>
  <si>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</si>
  <si>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</si>
  <si>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</si>
  <si>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t>1*</t>
  </si>
  <si>
    <t>Total</t>
  </si>
  <si>
    <t>* Newly created feeders</t>
  </si>
  <si>
    <r>
      <t xml:space="preserve">Nos of feeders </t>
    </r>
    <r>
      <rPr>
        <b/>
        <sz val="10"/>
        <color rgb="FFFF0000"/>
        <rFont val="Leelawadee"/>
        <family val="2"/>
      </rPr>
      <t>having more than 25%</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</si>
  <si>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</si>
  <si>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</si>
  <si>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</si>
  <si>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r>
      <t xml:space="preserve">Nos of feeders </t>
    </r>
    <r>
      <rPr>
        <b/>
        <sz val="10"/>
        <color rgb="FFFF0000"/>
        <rFont val="Leelawadee"/>
        <family val="2"/>
      </rPr>
      <t>having more than 10%</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</si>
  <si>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10%     </t>
    </r>
  </si>
  <si>
    <t>IND</t>
  </si>
  <si>
    <t>1+1*=2</t>
  </si>
  <si>
    <t>MGVCL</t>
  </si>
  <si>
    <t>V  -   DISTRIBUTION - KEY DATA</t>
  </si>
  <si>
    <t>FY 2022-23 Q-III (Oct to Dec-22)</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</si>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</sst>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00"/>
    <numFmt numFmtId="165" formatCode="0.0000"/>
    <numFmt numFmtId="166" formatCode="[$-409]mmm\-yy;@"/>
  </numFmts>
  <fonts count="60"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0"/>
      <name val="Arial"/>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s>
  <cellStyleXfs count="6">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43" fontId="43" fillId="0" borderId="0" applyFont="0" applyFill="0" applyBorder="0" applyAlignment="0" applyProtection="0"/>
    <xf numFmtId="0" fontId="1" fillId="0" borderId="0"/>
  </cellStyleXfs>
  <cellXfs count="427">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1" xfId="0" applyNumberFormat="1" applyFont="1" applyFill="1" applyBorder="1" applyAlignment="1">
      <alignment horizontal="right" vertical="center" wrapText="1"/>
    </xf>
    <xf numFmtId="10" fontId="16" fillId="0" borderId="0" xfId="0" applyNumberFormat="1" applyFont="1"/>
    <xf numFmtId="1" fontId="13" fillId="0" borderId="1" xfId="0" applyNumberFormat="1" applyFont="1" applyFill="1" applyBorder="1" applyAlignment="1">
      <alignment vertical="center" wrapText="1"/>
    </xf>
    <xf numFmtId="2" fontId="16" fillId="0" borderId="0" xfId="2" applyNumberFormat="1" applyFont="1"/>
    <xf numFmtId="10" fontId="16" fillId="0" borderId="0" xfId="2" applyNumberFormat="1" applyFont="1"/>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0"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0" fontId="12" fillId="0" borderId="18" xfId="0" applyFont="1" applyBorder="1" applyAlignment="1">
      <alignment horizontal="center" vertical="center" wrapText="1"/>
    </xf>
    <xf numFmtId="0" fontId="12" fillId="0" borderId="18" xfId="0" applyFont="1" applyBorder="1" applyAlignment="1">
      <alignment horizontal="center"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1"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vertical="center" wrapText="1"/>
    </xf>
    <xf numFmtId="1" fontId="14" fillId="2" borderId="0" xfId="0" applyNumberFormat="1" applyFont="1" applyFill="1" applyBorder="1" applyAlignment="1">
      <alignment horizontal="right"/>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 fontId="9" fillId="2" borderId="2"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3" fillId="0" borderId="31" xfId="0" applyNumberFormat="1" applyFont="1" applyFill="1" applyBorder="1" applyAlignment="1">
      <alignment horizontal="right" vertical="center" wrapText="1"/>
    </xf>
    <xf numFmtId="2" fontId="9" fillId="0" borderId="5" xfId="0" applyNumberFormat="1" applyFont="1" applyFill="1" applyBorder="1" applyAlignment="1">
      <alignment horizontal="right" vertical="center" wrapText="1"/>
    </xf>
    <xf numFmtId="10" fontId="9" fillId="0" borderId="1" xfId="0" applyNumberFormat="1" applyFont="1" applyFill="1" applyBorder="1" applyAlignment="1">
      <alignment horizontal="right" vertical="center" wrapText="1"/>
    </xf>
    <xf numFmtId="0" fontId="13" fillId="2" borderId="1" xfId="0" applyFont="1" applyFill="1" applyBorder="1" applyAlignment="1">
      <alignment horizontal="right" vertical="center" wrapText="1"/>
    </xf>
    <xf numFmtId="2" fontId="13" fillId="2" borderId="10" xfId="0" applyNumberFormat="1" applyFont="1" applyFill="1" applyBorder="1" applyAlignment="1">
      <alignment horizontal="right" vertical="center" wrapText="1"/>
    </xf>
    <xf numFmtId="43" fontId="13" fillId="2" borderId="1" xfId="4" applyFont="1" applyFill="1" applyBorder="1" applyAlignment="1">
      <alignment horizontal="right"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0" fontId="14" fillId="2" borderId="0" xfId="0" applyFont="1" applyFill="1" applyBorder="1" applyAlignment="1">
      <alignment horizontal="right"/>
    </xf>
    <xf numFmtId="164" fontId="13" fillId="2" borderId="4" xfId="0" applyNumberFormat="1" applyFont="1" applyFill="1" applyBorder="1" applyAlignment="1">
      <alignment horizontal="right" vertical="center" wrapText="1"/>
    </xf>
    <xf numFmtId="164" fontId="13" fillId="2" borderId="1" xfId="0" applyNumberFormat="1" applyFont="1" applyFill="1" applyBorder="1" applyAlignment="1">
      <alignment horizontal="right" vertical="center" wrapText="1"/>
    </xf>
    <xf numFmtId="164" fontId="13" fillId="2" borderId="2" xfId="0" applyNumberFormat="1" applyFont="1" applyFill="1" applyBorder="1" applyAlignment="1">
      <alignment horizontal="right" vertical="center" wrapText="1"/>
    </xf>
    <xf numFmtId="2" fontId="13" fillId="2" borderId="2" xfId="0" applyNumberFormat="1" applyFont="1" applyFill="1" applyBorder="1" applyAlignment="1">
      <alignment horizontal="right" vertical="center" wrapText="1"/>
    </xf>
    <xf numFmtId="0" fontId="39" fillId="2" borderId="0" xfId="0" applyFont="1" applyFill="1"/>
    <xf numFmtId="0" fontId="14" fillId="2" borderId="0" xfId="0" applyFont="1" applyFill="1"/>
    <xf numFmtId="2" fontId="13" fillId="2" borderId="3" xfId="0" applyNumberFormat="1" applyFont="1" applyFill="1" applyBorder="1" applyAlignment="1">
      <alignment horizontal="right" vertical="center" wrapText="1"/>
    </xf>
    <xf numFmtId="2" fontId="13" fillId="2" borderId="4"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6" xfId="0" applyNumberFormat="1" applyFont="1" applyFill="1" applyBorder="1" applyAlignment="1">
      <alignment horizontal="right" vertical="center" wrapText="1"/>
    </xf>
    <xf numFmtId="2" fontId="13" fillId="2" borderId="28"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2" fontId="13" fillId="2" borderId="5" xfId="0" quotePrefix="1" applyNumberFormat="1" applyFont="1" applyFill="1" applyBorder="1" applyAlignment="1">
      <alignment horizontal="right" vertical="center" wrapText="1"/>
    </xf>
    <xf numFmtId="2" fontId="41" fillId="2" borderId="1" xfId="0" applyNumberFormat="1" applyFont="1" applyFill="1" applyBorder="1" applyAlignment="1">
      <alignment horizontal="right" vertical="center" wrapText="1"/>
    </xf>
    <xf numFmtId="0" fontId="45" fillId="0" borderId="0" xfId="5" applyFont="1" applyFill="1"/>
    <xf numFmtId="0" fontId="46" fillId="0" borderId="35" xfId="1" applyFont="1" applyFill="1" applyBorder="1" applyAlignment="1"/>
    <xf numFmtId="0" fontId="46" fillId="0" borderId="2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9" fillId="0" borderId="1" xfId="1" applyFont="1" applyFill="1" applyBorder="1" applyAlignment="1">
      <alignment horizontal="center" vertical="center" wrapText="1"/>
    </xf>
    <xf numFmtId="0" fontId="45" fillId="0" borderId="1" xfId="1" applyFont="1" applyFill="1" applyBorder="1" applyAlignment="1">
      <alignment horizontal="center" vertical="center"/>
    </xf>
    <xf numFmtId="0" fontId="45" fillId="0" borderId="1" xfId="1" applyFont="1" applyFill="1" applyBorder="1" applyAlignment="1">
      <alignment horizontal="center" vertical="center" wrapText="1"/>
    </xf>
    <xf numFmtId="2" fontId="45" fillId="0" borderId="1" xfId="1" applyNumberFormat="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5" fillId="0" borderId="0" xfId="5" applyFont="1" applyFill="1" applyAlignment="1">
      <alignment vertical="center"/>
    </xf>
    <xf numFmtId="0" fontId="50" fillId="0" borderId="0" xfId="5" applyFont="1" applyFill="1" applyBorder="1" applyAlignment="1">
      <alignment horizontal="center" vertical="center"/>
    </xf>
    <xf numFmtId="0" fontId="50" fillId="0" borderId="10" xfId="1" applyFont="1" applyFill="1" applyBorder="1" applyAlignment="1">
      <alignment horizontal="center" vertical="center" wrapText="1"/>
    </xf>
    <xf numFmtId="2" fontId="50" fillId="0" borderId="10" xfId="1" applyNumberFormat="1" applyFont="1" applyFill="1" applyBorder="1" applyAlignment="1">
      <alignment horizontal="center" vertical="center" wrapText="1"/>
    </xf>
    <xf numFmtId="0" fontId="50" fillId="0" borderId="16" xfId="1" applyFont="1" applyFill="1" applyBorder="1" applyAlignment="1">
      <alignment horizontal="center" vertical="center" wrapText="1"/>
    </xf>
    <xf numFmtId="0" fontId="46" fillId="0" borderId="10" xfId="1" applyFont="1" applyFill="1" applyBorder="1" applyAlignment="1">
      <alignment horizontal="center" vertical="center" wrapText="1"/>
    </xf>
    <xf numFmtId="0" fontId="51" fillId="0" borderId="26" xfId="5" applyFont="1" applyFill="1" applyBorder="1" applyAlignment="1">
      <alignment horizontal="center" vertical="center"/>
    </xf>
    <xf numFmtId="0" fontId="52" fillId="0" borderId="2" xfId="1" applyFont="1" applyFill="1" applyBorder="1" applyAlignment="1">
      <alignment horizontal="center" vertical="center" wrapText="1"/>
    </xf>
    <xf numFmtId="0" fontId="51" fillId="0" borderId="0" xfId="5" applyFont="1" applyFill="1" applyAlignment="1">
      <alignment vertical="center"/>
    </xf>
    <xf numFmtId="0" fontId="50" fillId="0" borderId="1" xfId="5" applyFont="1" applyFill="1" applyBorder="1" applyAlignment="1">
      <alignment horizontal="center" vertical="center"/>
    </xf>
    <xf numFmtId="2" fontId="50" fillId="0" borderId="1" xfId="1" applyNumberFormat="1" applyFont="1" applyFill="1" applyBorder="1" applyAlignment="1">
      <alignment horizontal="center" vertical="center" wrapText="1"/>
    </xf>
    <xf numFmtId="0" fontId="51" fillId="0" borderId="40" xfId="5" applyFont="1" applyFill="1" applyBorder="1" applyAlignment="1">
      <alignment horizontal="center" vertical="center"/>
    </xf>
    <xf numFmtId="0" fontId="52" fillId="0" borderId="31" xfId="1" applyFont="1" applyFill="1" applyBorder="1" applyAlignment="1">
      <alignment horizontal="center" vertical="center" wrapText="1"/>
    </xf>
    <xf numFmtId="0" fontId="45" fillId="0" borderId="16" xfId="5" applyFont="1" applyFill="1" applyBorder="1" applyAlignment="1">
      <alignment vertical="center"/>
    </xf>
    <xf numFmtId="0" fontId="50" fillId="0" borderId="1" xfId="1" applyFont="1" applyFill="1" applyBorder="1" applyAlignment="1">
      <alignment horizontal="center" vertical="center" wrapText="1"/>
    </xf>
    <xf numFmtId="0" fontId="51" fillId="0" borderId="2" xfId="5" applyFont="1" applyFill="1" applyBorder="1" applyAlignment="1">
      <alignment horizontal="center" vertical="center"/>
    </xf>
    <xf numFmtId="0" fontId="48" fillId="0" borderId="41" xfId="5" applyNumberFormat="1" applyFont="1" applyFill="1" applyBorder="1" applyAlignment="1">
      <alignment vertical="center" wrapText="1"/>
    </xf>
    <xf numFmtId="0" fontId="53" fillId="0" borderId="41" xfId="5" applyNumberFormat="1" applyFont="1" applyFill="1" applyBorder="1" applyAlignment="1">
      <alignment vertical="center" wrapText="1"/>
    </xf>
    <xf numFmtId="0" fontId="45" fillId="0" borderId="0" xfId="0" applyFont="1" applyFill="1" applyBorder="1"/>
    <xf numFmtId="0" fontId="55" fillId="0" borderId="0" xfId="0" applyFont="1" applyFill="1" applyAlignment="1">
      <alignment horizontal="left" vertical="center"/>
    </xf>
    <xf numFmtId="0" fontId="55" fillId="0" borderId="0" xfId="0" applyFont="1" applyFill="1" applyAlignment="1">
      <alignment vertical="center"/>
    </xf>
    <xf numFmtId="0" fontId="55" fillId="0" borderId="0" xfId="0" applyFont="1" applyFill="1" applyAlignment="1">
      <alignment horizontal="right" vertical="center"/>
    </xf>
    <xf numFmtId="0" fontId="57" fillId="0" borderId="4" xfId="0" applyFont="1" applyFill="1" applyBorder="1" applyAlignment="1">
      <alignment horizontal="center" vertical="center" wrapText="1"/>
    </xf>
    <xf numFmtId="0" fontId="45" fillId="0" borderId="0" xfId="0" quotePrefix="1" applyFont="1" applyFill="1" applyBorder="1"/>
    <xf numFmtId="0" fontId="58" fillId="0" borderId="1" xfId="0" applyFont="1" applyFill="1" applyBorder="1" applyAlignment="1">
      <alignment horizontal="left" vertical="center"/>
    </xf>
    <xf numFmtId="0" fontId="58" fillId="0" borderId="1" xfId="0" applyFont="1" applyFill="1" applyBorder="1" applyAlignment="1">
      <alignment horizontal="center" vertical="center"/>
    </xf>
    <xf numFmtId="0" fontId="58"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57" fillId="0" borderId="2" xfId="0" applyFont="1" applyFill="1" applyBorder="1" applyAlignment="1">
      <alignment horizontal="left" vertical="center"/>
    </xf>
    <xf numFmtId="0" fontId="57" fillId="0" borderId="2" xfId="0" applyFont="1" applyFill="1" applyBorder="1" applyAlignment="1">
      <alignment horizontal="center" vertical="center"/>
    </xf>
    <xf numFmtId="0" fontId="57" fillId="0" borderId="2" xfId="0" applyFont="1" applyFill="1" applyBorder="1" applyAlignment="1">
      <alignment vertical="center"/>
    </xf>
    <xf numFmtId="166" fontId="45" fillId="0" borderId="0" xfId="0" applyNumberFormat="1" applyFont="1" applyFill="1" applyBorder="1"/>
    <xf numFmtId="0" fontId="57" fillId="0" borderId="7" xfId="0" applyFont="1" applyFill="1" applyBorder="1" applyAlignment="1">
      <alignment horizontal="center" vertical="center" wrapText="1"/>
    </xf>
    <xf numFmtId="0" fontId="45" fillId="0" borderId="0" xfId="0" applyFont="1" applyFill="1" applyBorder="1" applyAlignment="1">
      <alignment vertical="center"/>
    </xf>
    <xf numFmtId="0" fontId="57" fillId="0" borderId="0" xfId="0" applyFont="1" applyFill="1" applyBorder="1" applyAlignment="1">
      <alignment vertical="center"/>
    </xf>
    <xf numFmtId="1" fontId="50" fillId="0" borderId="0" xfId="0" applyNumberFormat="1" applyFont="1" applyFill="1" applyBorder="1" applyAlignment="1">
      <alignment vertical="center"/>
    </xf>
    <xf numFmtId="0" fontId="58" fillId="4" borderId="1" xfId="0" applyFont="1" applyFill="1" applyBorder="1" applyAlignment="1">
      <alignment horizontal="center" vertical="center"/>
    </xf>
    <xf numFmtId="1" fontId="58" fillId="4" borderId="1" xfId="0" applyNumberFormat="1" applyFont="1" applyFill="1" applyBorder="1" applyAlignment="1">
      <alignment horizontal="center" vertical="center"/>
    </xf>
    <xf numFmtId="1" fontId="58" fillId="4" borderId="8" xfId="0" applyNumberFormat="1" applyFont="1" applyFill="1" applyBorder="1" applyAlignment="1">
      <alignment horizontal="center" vertical="center"/>
    </xf>
    <xf numFmtId="1" fontId="50" fillId="0" borderId="0" xfId="0" applyNumberFormat="1" applyFont="1" applyFill="1" applyBorder="1" applyAlignment="1">
      <alignment horizontal="center" vertical="center"/>
    </xf>
    <xf numFmtId="0" fontId="57" fillId="4" borderId="2" xfId="0" applyFont="1" applyFill="1" applyBorder="1" applyAlignment="1">
      <alignment horizontal="center" vertical="center"/>
    </xf>
    <xf numFmtId="0" fontId="57" fillId="4" borderId="12" xfId="0" applyFont="1" applyFill="1" applyBorder="1" applyAlignment="1">
      <alignment horizontal="center" vertical="center"/>
    </xf>
    <xf numFmtId="0" fontId="45" fillId="0" borderId="0" xfId="0" applyFont="1" applyFill="1" applyBorder="1" applyAlignment="1">
      <alignment horizontal="center" vertical="center"/>
    </xf>
    <xf numFmtId="0" fontId="50" fillId="0" borderId="0" xfId="0" applyFont="1" applyFill="1" applyBorder="1" applyAlignment="1">
      <alignment vertical="center"/>
    </xf>
    <xf numFmtId="16" fontId="50" fillId="0" borderId="0" xfId="0" quotePrefix="1" applyNumberFormat="1" applyFont="1" applyFill="1" applyBorder="1" applyAlignment="1">
      <alignment vertical="center"/>
    </xf>
    <xf numFmtId="0" fontId="50" fillId="0" borderId="0" xfId="0" applyFont="1" applyFill="1" applyBorder="1"/>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2" borderId="10" xfId="0" applyNumberFormat="1" applyFont="1" applyFill="1" applyBorder="1" applyAlignment="1">
      <alignment horizontal="right" vertical="center" wrapText="1"/>
    </xf>
    <xf numFmtId="2" fontId="13" fillId="2" borderId="16"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2" fontId="13" fillId="0" borderId="16"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64" fontId="13" fillId="2" borderId="10" xfId="0" applyNumberFormat="1" applyFont="1" applyFill="1" applyBorder="1" applyAlignment="1">
      <alignment horizontal="right" vertical="center" wrapText="1"/>
    </xf>
    <xf numFmtId="164" fontId="13" fillId="2" borderId="21" xfId="0" applyNumberFormat="1" applyFont="1" applyFill="1" applyBorder="1" applyAlignment="1">
      <alignment horizontal="right" vertical="center" wrapText="1"/>
    </xf>
    <xf numFmtId="1" fontId="13" fillId="2" borderId="10" xfId="0" applyNumberFormat="1" applyFont="1" applyFill="1" applyBorder="1" applyAlignment="1">
      <alignment horizontal="right" vertical="center" wrapText="1"/>
    </xf>
    <xf numFmtId="1" fontId="13" fillId="2"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1" fontId="13" fillId="0" borderId="1" xfId="0" applyNumberFormat="1" applyFont="1" applyBorder="1" applyAlignment="1">
      <alignment vertical="center" wrapText="1"/>
    </xf>
    <xf numFmtId="2" fontId="13" fillId="2" borderId="13" xfId="0" applyNumberFormat="1" applyFont="1" applyFill="1" applyBorder="1" applyAlignment="1">
      <alignment horizontal="right" vertical="center" wrapText="1"/>
    </xf>
    <xf numFmtId="2" fontId="13" fillId="2" borderId="2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6" fillId="0" borderId="5" xfId="1" applyFont="1" applyFill="1" applyBorder="1" applyAlignment="1">
      <alignment horizontal="center" vertical="center" wrapText="1"/>
    </xf>
    <xf numFmtId="0" fontId="46" fillId="0" borderId="6" xfId="1" applyFont="1" applyFill="1" applyBorder="1" applyAlignment="1">
      <alignment horizontal="center" vertical="center" wrapText="1"/>
    </xf>
    <xf numFmtId="0" fontId="49" fillId="0" borderId="11" xfId="1" applyFont="1" applyFill="1" applyBorder="1" applyAlignment="1">
      <alignment horizontal="center" vertical="center" wrapText="1"/>
    </xf>
    <xf numFmtId="0" fontId="49" fillId="0" borderId="23" xfId="1" applyFont="1" applyFill="1" applyBorder="1" applyAlignment="1">
      <alignment horizontal="center" vertical="center" wrapText="1"/>
    </xf>
    <xf numFmtId="0" fontId="49" fillId="0" borderId="39" xfId="1" applyFont="1" applyFill="1" applyBorder="1" applyAlignment="1">
      <alignment horizontal="center" vertical="center" wrapText="1"/>
    </xf>
    <xf numFmtId="0" fontId="52" fillId="0" borderId="19" xfId="1" applyFont="1" applyFill="1" applyBorder="1" applyAlignment="1">
      <alignment horizontal="center" vertical="center" wrapText="1"/>
    </xf>
    <xf numFmtId="0" fontId="52" fillId="0" borderId="26" xfId="1" applyFont="1" applyFill="1" applyBorder="1" applyAlignment="1">
      <alignment horizontal="center" vertical="center" wrapText="1"/>
    </xf>
    <xf numFmtId="0" fontId="52" fillId="0" borderId="38" xfId="1"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36" xfId="1" applyFont="1" applyFill="1" applyBorder="1" applyAlignment="1">
      <alignment horizontal="center" vertical="center" wrapText="1"/>
    </xf>
    <xf numFmtId="0" fontId="46" fillId="0" borderId="37" xfId="1" applyFont="1" applyFill="1" applyBorder="1" applyAlignment="1">
      <alignment horizontal="center" vertical="center" wrapText="1"/>
    </xf>
    <xf numFmtId="0" fontId="46" fillId="0" borderId="3" xfId="1" applyFont="1" applyFill="1" applyBorder="1" applyAlignment="1">
      <alignment horizontal="center" vertical="center" wrapText="1"/>
    </xf>
    <xf numFmtId="0" fontId="46" fillId="0" borderId="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7" xfId="1" applyFont="1" applyFill="1" applyBorder="1" applyAlignment="1">
      <alignment horizontal="center" vertical="center" wrapText="1"/>
    </xf>
    <xf numFmtId="0" fontId="46" fillId="0" borderId="8" xfId="1" applyFont="1" applyFill="1" applyBorder="1" applyAlignment="1">
      <alignment horizontal="center" vertical="center" wrapText="1"/>
    </xf>
    <xf numFmtId="0" fontId="44" fillId="0" borderId="32"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7" fillId="0" borderId="25" xfId="1" applyFont="1" applyFill="1" applyBorder="1" applyAlignment="1">
      <alignment horizontal="center" vertical="center" wrapText="1"/>
    </xf>
    <xf numFmtId="0" fontId="47" fillId="0" borderId="26" xfId="1" applyFont="1" applyFill="1" applyBorder="1" applyAlignment="1">
      <alignment horizontal="center" vertical="center" wrapText="1"/>
    </xf>
    <xf numFmtId="0" fontId="47" fillId="0" borderId="27" xfId="1" applyFont="1" applyFill="1" applyBorder="1" applyAlignment="1">
      <alignment horizontal="center" vertical="center" wrapText="1"/>
    </xf>
    <xf numFmtId="1" fontId="57" fillId="4" borderId="2" xfId="0" applyNumberFormat="1" applyFont="1" applyFill="1" applyBorder="1" applyAlignment="1">
      <alignment horizontal="center" vertical="center"/>
    </xf>
    <xf numFmtId="1" fontId="57" fillId="0" borderId="2" xfId="0" applyNumberFormat="1" applyFont="1" applyFill="1" applyBorder="1" applyAlignment="1">
      <alignment horizontal="center" vertical="center"/>
    </xf>
    <xf numFmtId="1" fontId="57" fillId="0" borderId="12" xfId="0" applyNumberFormat="1" applyFont="1" applyFill="1" applyBorder="1" applyAlignment="1">
      <alignment horizontal="center" vertical="center"/>
    </xf>
    <xf numFmtId="0" fontId="57" fillId="0" borderId="42" xfId="0" applyFont="1" applyFill="1" applyBorder="1" applyAlignment="1">
      <alignment horizontal="center" vertical="center"/>
    </xf>
    <xf numFmtId="0" fontId="57" fillId="0" borderId="36" xfId="0" applyFont="1" applyFill="1" applyBorder="1" applyAlignment="1">
      <alignment horizontal="center" vertical="center"/>
    </xf>
    <xf numFmtId="0" fontId="57" fillId="0" borderId="37" xfId="0" applyFont="1" applyFill="1" applyBorder="1" applyAlignment="1">
      <alignment horizontal="center" vertical="center"/>
    </xf>
    <xf numFmtId="0" fontId="57" fillId="3" borderId="9" xfId="0" applyFont="1" applyFill="1" applyBorder="1" applyAlignment="1">
      <alignment horizontal="center" vertical="center" wrapText="1"/>
    </xf>
    <xf numFmtId="0" fontId="57" fillId="3" borderId="43" xfId="0" applyFont="1" applyFill="1" applyBorder="1" applyAlignment="1">
      <alignment horizontal="center" vertical="center" wrapText="1"/>
    </xf>
    <xf numFmtId="0" fontId="59" fillId="0" borderId="32" xfId="0" applyFont="1" applyFill="1" applyBorder="1" applyAlignment="1">
      <alignment horizontal="left" vertical="center" wrapText="1"/>
    </xf>
    <xf numFmtId="0" fontId="59" fillId="0" borderId="33" xfId="0" applyFont="1" applyFill="1" applyBorder="1" applyAlignment="1">
      <alignment horizontal="left" vertical="center" wrapText="1"/>
    </xf>
    <xf numFmtId="0" fontId="59" fillId="0" borderId="34" xfId="0" applyFont="1" applyFill="1" applyBorder="1" applyAlignment="1">
      <alignment horizontal="left" vertical="center" wrapText="1"/>
    </xf>
    <xf numFmtId="0" fontId="54" fillId="0" borderId="0" xfId="0" applyFont="1" applyFill="1" applyAlignment="1">
      <alignment horizontal="center" vertical="center"/>
    </xf>
    <xf numFmtId="0" fontId="56" fillId="0" borderId="0" xfId="0" applyFont="1" applyFill="1" applyAlignment="1">
      <alignment horizontal="center" vertical="center" wrapText="1"/>
    </xf>
    <xf numFmtId="0" fontId="57" fillId="0" borderId="4" xfId="0" applyFont="1" applyFill="1" applyBorder="1" applyAlignment="1">
      <alignment horizontal="center" vertical="center" wrapText="1"/>
    </xf>
    <xf numFmtId="0" fontId="57" fillId="0" borderId="7" xfId="0" applyFont="1" applyFill="1" applyBorder="1" applyAlignment="1">
      <alignment horizontal="center" vertical="center" wrapText="1"/>
    </xf>
    <xf numFmtId="1" fontId="58" fillId="4" borderId="1" xfId="0" applyNumberFormat="1" applyFont="1" applyFill="1" applyBorder="1" applyAlignment="1">
      <alignment horizontal="center" vertical="center" wrapText="1"/>
    </xf>
    <xf numFmtId="1" fontId="58" fillId="0" borderId="1" xfId="0" applyNumberFormat="1" applyFont="1" applyFill="1" applyBorder="1" applyAlignment="1">
      <alignment horizontal="center" vertical="center" wrapText="1"/>
    </xf>
    <xf numFmtId="1" fontId="58" fillId="0" borderId="8" xfId="0" applyNumberFormat="1" applyFont="1" applyFill="1" applyBorder="1" applyAlignment="1">
      <alignment horizontal="center" vertical="center" wrapText="1"/>
    </xf>
  </cellXfs>
  <cellStyles count="6">
    <cellStyle name="Comma" xfId="4" builtinId="3"/>
    <cellStyle name="Normal" xfId="0" builtinId="0"/>
    <cellStyle name="Normal 2" xfId="1"/>
    <cellStyle name="Normal 4" xfId="5"/>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GVCL\Desktop\RIMS_Q3%20%202021-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 val="1EM TO STATIC 1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pdc Rc,Ag Shif"/>
      <sheetName val="SuvP_Ltg_Catwise"/>
      <sheetName val="PP_Ltg_Catwise"/>
      <sheetName val="PP_Ind_Catwise "/>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1"/>
    </sheetNames>
    <sheetDataSet>
      <sheetData sheetId="0">
        <row r="22">
          <cell r="F22">
            <v>3167.503999999999</v>
          </cell>
          <cell r="G22">
            <v>9916.5239999999994</v>
          </cell>
        </row>
      </sheetData>
      <sheetData sheetId="1"/>
      <sheetData sheetId="2">
        <row r="15">
          <cell r="F15">
            <v>1730.0199999999995</v>
          </cell>
          <cell r="G15">
            <v>4964.53</v>
          </cell>
        </row>
      </sheetData>
      <sheetData sheetId="3">
        <row r="14">
          <cell r="F14">
            <v>2625</v>
          </cell>
          <cell r="G14">
            <v>2625</v>
          </cell>
        </row>
        <row r="17">
          <cell r="F17">
            <v>2625</v>
          </cell>
          <cell r="G17">
            <v>2625</v>
          </cell>
        </row>
        <row r="18">
          <cell r="F18">
            <v>2789524</v>
          </cell>
          <cell r="G18">
            <v>2789524</v>
          </cell>
        </row>
        <row r="19">
          <cell r="F19">
            <v>388424</v>
          </cell>
          <cell r="G19">
            <v>388424</v>
          </cell>
        </row>
        <row r="21">
          <cell r="F21">
            <v>25913</v>
          </cell>
          <cell r="G21">
            <v>25913</v>
          </cell>
        </row>
        <row r="22">
          <cell r="F22">
            <v>3203861</v>
          </cell>
          <cell r="G22">
            <v>3203861</v>
          </cell>
        </row>
        <row r="23">
          <cell r="F23">
            <v>198247</v>
          </cell>
          <cell r="G23">
            <v>198247</v>
          </cell>
        </row>
        <row r="24">
          <cell r="F24">
            <v>3402108</v>
          </cell>
          <cell r="G24">
            <v>3402108</v>
          </cell>
        </row>
        <row r="25">
          <cell r="F25">
            <v>3404733</v>
          </cell>
          <cell r="G25">
            <v>3404733</v>
          </cell>
        </row>
        <row r="29">
          <cell r="F29">
            <v>1348.2939999999999</v>
          </cell>
          <cell r="G29">
            <v>3817.3679999999999</v>
          </cell>
        </row>
        <row r="32">
          <cell r="F32">
            <v>1348.2939999999999</v>
          </cell>
          <cell r="G32">
            <v>3817.3679999999999</v>
          </cell>
        </row>
        <row r="33">
          <cell r="F33">
            <v>537.1869999999999</v>
          </cell>
          <cell r="G33">
            <v>2257.549</v>
          </cell>
        </row>
        <row r="34">
          <cell r="F34">
            <v>425.61300000000006</v>
          </cell>
          <cell r="G34">
            <v>1378.4090000000001</v>
          </cell>
        </row>
        <row r="36">
          <cell r="F36">
            <v>92.729000000000013</v>
          </cell>
          <cell r="G36">
            <v>282.78800000000001</v>
          </cell>
        </row>
        <row r="37">
          <cell r="F37">
            <v>1055.529</v>
          </cell>
          <cell r="G37">
            <v>3918.7460000000001</v>
          </cell>
        </row>
        <row r="38">
          <cell r="F38">
            <v>326.83000000000004</v>
          </cell>
          <cell r="G38">
            <v>853.90700000000004</v>
          </cell>
        </row>
        <row r="39">
          <cell r="F39">
            <v>1382.3589999999999</v>
          </cell>
          <cell r="G39">
            <v>4772.6530000000002</v>
          </cell>
        </row>
        <row r="40">
          <cell r="F40">
            <v>2730.6529999999998</v>
          </cell>
          <cell r="G40">
            <v>8590.0210000000006</v>
          </cell>
        </row>
      </sheetData>
      <sheetData sheetId="4">
        <row r="25">
          <cell r="G25">
            <v>5422.2800000000007</v>
          </cell>
        </row>
        <row r="32">
          <cell r="F32">
            <v>712.39655446067411</v>
          </cell>
          <cell r="G32">
            <v>670.85227308449169</v>
          </cell>
        </row>
        <row r="39">
          <cell r="F39">
            <v>650.37374517039359</v>
          </cell>
          <cell r="G39">
            <v>599.53866329691266</v>
          </cell>
        </row>
        <row r="40">
          <cell r="F40">
            <v>680.99828136346889</v>
          </cell>
          <cell r="G40">
            <v>631.23012155616391</v>
          </cell>
        </row>
      </sheetData>
      <sheetData sheetId="5"/>
      <sheetData sheetId="6">
        <row r="11">
          <cell r="E11">
            <v>0.23024262856215458</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tabSelected="1" view="pageBreakPreview" topLeftCell="A4" zoomScale="70" zoomScaleNormal="70" zoomScaleSheetLayoutView="70" workbookViewId="0">
      <selection activeCell="B49" sqref="B49"/>
    </sheetView>
  </sheetViews>
  <sheetFormatPr defaultColWidth="9.140625" defaultRowHeight="12.75" x14ac:dyDescent="0.2"/>
  <cols>
    <col min="1" max="1" width="8" style="81" customWidth="1"/>
    <col min="2" max="2" width="74.140625" style="81" customWidth="1"/>
    <col min="3" max="3" width="22" style="81" customWidth="1"/>
    <col min="4" max="4" width="25" style="81" customWidth="1"/>
    <col min="5" max="5" width="27" style="81" customWidth="1"/>
    <col min="6" max="6" width="26.42578125" style="81" customWidth="1"/>
    <col min="7" max="7" width="25" style="81" customWidth="1"/>
    <col min="8" max="8" width="20.42578125" style="81" customWidth="1"/>
    <col min="9" max="9" width="22.140625" style="81" customWidth="1"/>
    <col min="10" max="16384" width="9.140625" style="81"/>
  </cols>
  <sheetData>
    <row r="2" spans="1:9" ht="33" x14ac:dyDescent="0.2">
      <c r="I2" s="82" t="s">
        <v>68</v>
      </c>
    </row>
    <row r="5" spans="1:9" ht="37.5" x14ac:dyDescent="0.6">
      <c r="A5" s="326" t="s">
        <v>0</v>
      </c>
      <c r="B5" s="326"/>
      <c r="C5" s="326"/>
      <c r="D5" s="326"/>
      <c r="E5" s="326"/>
      <c r="F5" s="326"/>
      <c r="G5" s="326"/>
      <c r="H5" s="326"/>
      <c r="I5" s="326"/>
    </row>
    <row r="6" spans="1:9" ht="18" customHeight="1" x14ac:dyDescent="0.4">
      <c r="A6" s="83"/>
      <c r="B6" s="83"/>
      <c r="C6" s="83"/>
      <c r="D6" s="83"/>
      <c r="E6" s="83"/>
    </row>
    <row r="8" spans="1:9" ht="30" x14ac:dyDescent="0.2">
      <c r="A8" s="327" t="s">
        <v>42</v>
      </c>
      <c r="B8" s="327"/>
      <c r="C8" s="327"/>
      <c r="D8" s="327"/>
      <c r="E8" s="327"/>
      <c r="F8" s="327"/>
      <c r="G8" s="327"/>
      <c r="H8" s="327"/>
      <c r="I8" s="327"/>
    </row>
    <row r="10" spans="1:9" ht="30" x14ac:dyDescent="0.2">
      <c r="A10" s="327" t="s">
        <v>67</v>
      </c>
      <c r="B10" s="327"/>
      <c r="C10" s="327"/>
      <c r="D10" s="327"/>
      <c r="E10" s="327"/>
      <c r="F10" s="327"/>
      <c r="G10" s="327"/>
      <c r="H10" s="327"/>
      <c r="I10" s="327"/>
    </row>
    <row r="11" spans="1:9" ht="13.5" thickBot="1" x14ac:dyDescent="0.25"/>
    <row r="12" spans="1:9" ht="21.6" customHeight="1" x14ac:dyDescent="0.2">
      <c r="A12" s="84"/>
      <c r="B12" s="85"/>
      <c r="C12" s="85"/>
      <c r="D12" s="334" t="s">
        <v>16</v>
      </c>
      <c r="E12" s="334"/>
      <c r="F12" s="334" t="s">
        <v>66</v>
      </c>
      <c r="G12" s="334"/>
      <c r="H12" s="334" t="s">
        <v>17</v>
      </c>
      <c r="I12" s="335"/>
    </row>
    <row r="13" spans="1:9" ht="21.6" customHeight="1" x14ac:dyDescent="0.2">
      <c r="A13" s="86"/>
      <c r="B13" s="46"/>
      <c r="C13" s="46"/>
      <c r="D13" s="46" t="s">
        <v>14</v>
      </c>
      <c r="E13" s="46" t="s">
        <v>15</v>
      </c>
      <c r="F13" s="46" t="s">
        <v>14</v>
      </c>
      <c r="G13" s="46" t="s">
        <v>15</v>
      </c>
      <c r="H13" s="333" t="s">
        <v>14</v>
      </c>
      <c r="I13" s="328" t="s">
        <v>15</v>
      </c>
    </row>
    <row r="14" spans="1:9" ht="26.25" customHeight="1" x14ac:dyDescent="0.2">
      <c r="A14" s="86"/>
      <c r="B14" s="46"/>
      <c r="C14" s="46"/>
      <c r="D14" s="333" t="s">
        <v>235</v>
      </c>
      <c r="E14" s="333"/>
      <c r="F14" s="333" t="s">
        <v>238</v>
      </c>
      <c r="G14" s="333"/>
      <c r="H14" s="333"/>
      <c r="I14" s="328"/>
    </row>
    <row r="15" spans="1:9" ht="24" customHeight="1" x14ac:dyDescent="0.2">
      <c r="A15" s="86"/>
      <c r="B15" s="46"/>
      <c r="C15" s="46"/>
      <c r="D15" s="331"/>
      <c r="E15" s="332"/>
      <c r="F15" s="329"/>
      <c r="G15" s="330"/>
      <c r="H15" s="166"/>
      <c r="I15" s="155"/>
    </row>
    <row r="16" spans="1:9" ht="21.6" customHeight="1" x14ac:dyDescent="0.2">
      <c r="A16" s="86" t="s">
        <v>63</v>
      </c>
      <c r="B16" s="88" t="s">
        <v>47</v>
      </c>
      <c r="C16" s="46"/>
      <c r="D16" s="153"/>
      <c r="E16" s="153"/>
      <c r="F16" s="145"/>
      <c r="G16" s="145"/>
      <c r="H16" s="166"/>
      <c r="I16" s="155"/>
    </row>
    <row r="17" spans="1:11" ht="21.6" customHeight="1" x14ac:dyDescent="0.2">
      <c r="A17" s="86">
        <v>1</v>
      </c>
      <c r="B17" s="88" t="s">
        <v>122</v>
      </c>
      <c r="C17" s="46" t="s">
        <v>61</v>
      </c>
      <c r="D17" s="321">
        <f>+E17-7710</f>
        <v>3450</v>
      </c>
      <c r="E17" s="321">
        <v>11160</v>
      </c>
      <c r="F17" s="311">
        <f>+(G17-6749.02)*0+3240.3</f>
        <v>3240.3</v>
      </c>
      <c r="G17" s="311">
        <v>9916.5239999999994</v>
      </c>
      <c r="H17" s="309">
        <f>(D17-F17)/F17</f>
        <v>6.4716229978705617E-2</v>
      </c>
      <c r="I17" s="315">
        <f>(E17-G17)/G17</f>
        <v>0.12539434180767381</v>
      </c>
    </row>
    <row r="18" spans="1:11" ht="21.6" customHeight="1" x14ac:dyDescent="0.2">
      <c r="A18" s="86">
        <v>2</v>
      </c>
      <c r="B18" s="88" t="s">
        <v>110</v>
      </c>
      <c r="C18" s="46" t="s">
        <v>61</v>
      </c>
      <c r="D18" s="325"/>
      <c r="E18" s="325"/>
      <c r="F18" s="312"/>
      <c r="G18" s="312"/>
      <c r="H18" s="314"/>
      <c r="I18" s="317"/>
      <c r="J18" s="196"/>
      <c r="K18" s="197"/>
    </row>
    <row r="19" spans="1:11" ht="21.6" customHeight="1" x14ac:dyDescent="0.2">
      <c r="A19" s="86">
        <v>3</v>
      </c>
      <c r="B19" s="88" t="s">
        <v>112</v>
      </c>
      <c r="C19" s="46" t="s">
        <v>61</v>
      </c>
      <c r="D19" s="322"/>
      <c r="E19" s="322"/>
      <c r="F19" s="313"/>
      <c r="G19" s="313"/>
      <c r="H19" s="310"/>
      <c r="I19" s="316"/>
    </row>
    <row r="20" spans="1:11" ht="21.6" customHeight="1" x14ac:dyDescent="0.2">
      <c r="A20" s="86"/>
      <c r="B20" s="88" t="s">
        <v>113</v>
      </c>
      <c r="C20" s="46" t="s">
        <v>61</v>
      </c>
      <c r="D20" s="20"/>
      <c r="E20" s="20"/>
      <c r="F20" s="231"/>
      <c r="G20" s="231"/>
      <c r="H20" s="167"/>
      <c r="I20" s="168"/>
    </row>
    <row r="21" spans="1:11" ht="21.6" customHeight="1" x14ac:dyDescent="0.2">
      <c r="A21" s="86"/>
      <c r="B21" s="88" t="s">
        <v>114</v>
      </c>
      <c r="C21" s="46" t="s">
        <v>61</v>
      </c>
      <c r="D21" s="20"/>
      <c r="E21" s="20"/>
      <c r="F21" s="231"/>
      <c r="G21" s="231"/>
      <c r="H21" s="167"/>
      <c r="I21" s="168"/>
    </row>
    <row r="22" spans="1:11" ht="21.6" customHeight="1" x14ac:dyDescent="0.2">
      <c r="A22" s="86"/>
      <c r="B22" s="88" t="s">
        <v>48</v>
      </c>
      <c r="C22" s="46" t="s">
        <v>61</v>
      </c>
      <c r="D22" s="163">
        <f>+D17+D20+D21</f>
        <v>3450</v>
      </c>
      <c r="E22" s="163">
        <f>+E17+E20+E21</f>
        <v>11160</v>
      </c>
      <c r="F22" s="218">
        <f>+F17+F20+F21</f>
        <v>3240.3</v>
      </c>
      <c r="G22" s="218">
        <f>+G17+G20+G21</f>
        <v>9916.5239999999994</v>
      </c>
      <c r="H22" s="165">
        <f>(D22-F22)/F22</f>
        <v>6.4716229978705617E-2</v>
      </c>
      <c r="I22" s="169">
        <f>(E22-G22)/G22</f>
        <v>0.12539434180767381</v>
      </c>
    </row>
    <row r="23" spans="1:11" ht="21.6" customHeight="1" x14ac:dyDescent="0.2">
      <c r="A23" s="86"/>
      <c r="B23" s="88"/>
      <c r="C23" s="46"/>
      <c r="D23" s="20"/>
      <c r="E23" s="20"/>
      <c r="F23" s="231"/>
      <c r="G23" s="231"/>
      <c r="H23" s="167"/>
      <c r="I23" s="168"/>
    </row>
    <row r="24" spans="1:11" ht="21.6" customHeight="1" x14ac:dyDescent="0.2">
      <c r="A24" s="86" t="s">
        <v>64</v>
      </c>
      <c r="B24" s="88" t="s">
        <v>49</v>
      </c>
      <c r="C24" s="46"/>
      <c r="D24" s="20"/>
      <c r="E24" s="20"/>
      <c r="F24" s="231"/>
      <c r="G24" s="231"/>
      <c r="H24" s="167"/>
      <c r="I24" s="168"/>
    </row>
    <row r="25" spans="1:11" ht="21.6" customHeight="1" x14ac:dyDescent="0.2">
      <c r="A25" s="86">
        <v>1</v>
      </c>
      <c r="B25" s="88" t="s">
        <v>50</v>
      </c>
      <c r="C25" s="46" t="s">
        <v>61</v>
      </c>
      <c r="D25" s="163">
        <f>+D17</f>
        <v>3450</v>
      </c>
      <c r="E25" s="163">
        <f>+E22</f>
        <v>11160</v>
      </c>
      <c r="F25" s="218">
        <f>+F17</f>
        <v>3240.3</v>
      </c>
      <c r="G25" s="218">
        <f>+G22</f>
        <v>9916.5239999999994</v>
      </c>
      <c r="H25" s="165">
        <f t="shared" ref="H25:I37" si="0">(D25-F25)/F25</f>
        <v>6.4716229978705617E-2</v>
      </c>
      <c r="I25" s="169">
        <f t="shared" si="0"/>
        <v>0.12539434180767381</v>
      </c>
    </row>
    <row r="26" spans="1:11" ht="21.6" customHeight="1" x14ac:dyDescent="0.2">
      <c r="A26" s="86">
        <v>2</v>
      </c>
      <c r="B26" s="88" t="s">
        <v>51</v>
      </c>
      <c r="C26" s="46" t="s">
        <v>61</v>
      </c>
      <c r="D26" s="163">
        <f>+D25</f>
        <v>3450</v>
      </c>
      <c r="E26" s="163">
        <f>+E25</f>
        <v>11160</v>
      </c>
      <c r="F26" s="218">
        <f>+F25</f>
        <v>3240.3</v>
      </c>
      <c r="G26" s="218">
        <f>+G25</f>
        <v>9916.5239999999994</v>
      </c>
      <c r="H26" s="165">
        <f t="shared" si="0"/>
        <v>6.4716229978705617E-2</v>
      </c>
      <c r="I26" s="169">
        <f t="shared" si="0"/>
        <v>0.12539434180767381</v>
      </c>
    </row>
    <row r="27" spans="1:11" ht="21.6" customHeight="1" x14ac:dyDescent="0.2">
      <c r="A27" s="86">
        <v>3</v>
      </c>
      <c r="B27" s="88" t="s">
        <v>111</v>
      </c>
      <c r="C27" s="46" t="s">
        <v>61</v>
      </c>
      <c r="D27" s="163">
        <f>+E27-6589</f>
        <v>3143</v>
      </c>
      <c r="E27" s="223">
        <v>9732</v>
      </c>
      <c r="F27" s="218">
        <f>+'SHEET-4'!F40</f>
        <v>2794.357</v>
      </c>
      <c r="G27" s="218">
        <v>8590.0210000000006</v>
      </c>
      <c r="H27" s="165">
        <f t="shared" si="0"/>
        <v>0.12476680681816962</v>
      </c>
      <c r="I27" s="169">
        <f t="shared" si="0"/>
        <v>0.1329425155072379</v>
      </c>
    </row>
    <row r="28" spans="1:11" ht="21.6" customHeight="1" x14ac:dyDescent="0.2">
      <c r="A28" s="86">
        <v>4</v>
      </c>
      <c r="B28" s="88" t="s">
        <v>115</v>
      </c>
      <c r="C28" s="46" t="s">
        <v>61</v>
      </c>
      <c r="D28" s="163">
        <f>+D26-D27</f>
        <v>307</v>
      </c>
      <c r="E28" s="163">
        <f>+E26-E27</f>
        <v>1428</v>
      </c>
      <c r="F28" s="218">
        <f>+F26-F27</f>
        <v>445.94300000000021</v>
      </c>
      <c r="G28" s="218">
        <f>+G26-G27</f>
        <v>1326.5029999999988</v>
      </c>
      <c r="H28" s="165">
        <f t="shared" si="0"/>
        <v>-0.31157120977344671</v>
      </c>
      <c r="I28" s="165">
        <f t="shared" si="0"/>
        <v>7.6514715760161348E-2</v>
      </c>
    </row>
    <row r="29" spans="1:11" ht="21.6" customHeight="1" x14ac:dyDescent="0.2">
      <c r="A29" s="86">
        <v>5</v>
      </c>
      <c r="B29" s="88" t="s">
        <v>52</v>
      </c>
      <c r="C29" s="46" t="s">
        <v>34</v>
      </c>
      <c r="D29" s="164">
        <f>+(D28/D26)</f>
        <v>8.8985507246376813E-2</v>
      </c>
      <c r="E29" s="164">
        <f>+(E28/E26)</f>
        <v>0.12795698924731183</v>
      </c>
      <c r="F29" s="172">
        <f>+(F28/F26)</f>
        <v>0.13762398543344759</v>
      </c>
      <c r="G29" s="172">
        <f>+(G28/G26)</f>
        <v>0.13376693284864724</v>
      </c>
      <c r="H29" s="165">
        <f>D29-F29</f>
        <v>-4.8638478187070774E-2</v>
      </c>
      <c r="I29" s="165">
        <f>E29-G29</f>
        <v>-5.80994360133541E-3</v>
      </c>
    </row>
    <row r="30" spans="1:11" ht="21.6" customHeight="1" x14ac:dyDescent="0.2">
      <c r="A30" s="86"/>
      <c r="B30" s="88"/>
      <c r="C30" s="46"/>
      <c r="D30" s="20"/>
      <c r="E30" s="20"/>
      <c r="F30" s="231"/>
      <c r="G30" s="231"/>
      <c r="H30" s="165"/>
      <c r="I30" s="169"/>
    </row>
    <row r="31" spans="1:11" ht="21.6" customHeight="1" x14ac:dyDescent="0.2">
      <c r="A31" s="86" t="s">
        <v>65</v>
      </c>
      <c r="B31" s="88" t="s">
        <v>53</v>
      </c>
      <c r="C31" s="46"/>
      <c r="D31" s="20"/>
      <c r="E31" s="20"/>
      <c r="F31" s="231"/>
      <c r="G31" s="231"/>
      <c r="H31" s="165"/>
      <c r="I31" s="169"/>
    </row>
    <row r="32" spans="1:11" ht="21.6" customHeight="1" x14ac:dyDescent="0.2">
      <c r="A32" s="86">
        <v>1</v>
      </c>
      <c r="B32" s="88" t="s">
        <v>54</v>
      </c>
      <c r="C32" s="323" t="s">
        <v>62</v>
      </c>
      <c r="D32" s="319">
        <f>+E32-4409.76-811.79+269.03</f>
        <v>2649.5299999999997</v>
      </c>
      <c r="E32" s="321">
        <f>+'SHEET-5'!E25+811.79</f>
        <v>7602.05</v>
      </c>
      <c r="F32" s="311">
        <f>+G32-4014.57</f>
        <v>2090.1199999999994</v>
      </c>
      <c r="G32" s="311">
        <f>+'[7]SHEET-5'!G25+67.46+74.76+74.66+77.48+78.83+78.67+77.94+81.83+70.78</f>
        <v>6104.69</v>
      </c>
      <c r="H32" s="309">
        <f t="shared" si="0"/>
        <v>0.26764491990890499</v>
      </c>
      <c r="I32" s="315">
        <f t="shared" si="0"/>
        <v>0.24528026812172291</v>
      </c>
    </row>
    <row r="33" spans="1:9" ht="21.6" customHeight="1" x14ac:dyDescent="0.2">
      <c r="A33" s="86">
        <v>2</v>
      </c>
      <c r="B33" s="88" t="s">
        <v>55</v>
      </c>
      <c r="C33" s="324"/>
      <c r="D33" s="320"/>
      <c r="E33" s="322"/>
      <c r="F33" s="313"/>
      <c r="G33" s="313"/>
      <c r="H33" s="310"/>
      <c r="I33" s="316"/>
    </row>
    <row r="34" spans="1:9" ht="21.6" customHeight="1" x14ac:dyDescent="0.2">
      <c r="A34" s="86">
        <v>3</v>
      </c>
      <c r="B34" s="88" t="s">
        <v>56</v>
      </c>
      <c r="C34" s="46" t="s">
        <v>62</v>
      </c>
      <c r="D34" s="163">
        <f>+D32</f>
        <v>2649.5299999999997</v>
      </c>
      <c r="E34" s="163">
        <f>+E32</f>
        <v>7602.05</v>
      </c>
      <c r="F34" s="218">
        <f>+F32</f>
        <v>2090.1199999999994</v>
      </c>
      <c r="G34" s="218">
        <f>+G32</f>
        <v>6104.69</v>
      </c>
      <c r="H34" s="165">
        <f t="shared" si="0"/>
        <v>0.26764491990890499</v>
      </c>
      <c r="I34" s="169">
        <f t="shared" si="0"/>
        <v>0.24528026812172291</v>
      </c>
    </row>
    <row r="35" spans="1:9" ht="21.6" customHeight="1" x14ac:dyDescent="0.2">
      <c r="A35" s="86">
        <v>4</v>
      </c>
      <c r="B35" s="88" t="s">
        <v>57</v>
      </c>
      <c r="C35" s="323" t="s">
        <v>62</v>
      </c>
      <c r="D35" s="319">
        <f>+D34*99.31%</f>
        <v>2631.2482429999995</v>
      </c>
      <c r="E35" s="319">
        <f>+E34*97.53%</f>
        <v>7414.2793650000003</v>
      </c>
      <c r="F35" s="311">
        <f>+F34*102.89%</f>
        <v>2150.5244679999992</v>
      </c>
      <c r="G35" s="311">
        <f>+G34*98.2%</f>
        <v>5994.8055799999993</v>
      </c>
      <c r="H35" s="309">
        <f t="shared" si="0"/>
        <v>0.22353792395911515</v>
      </c>
      <c r="I35" s="315">
        <f t="shared" si="0"/>
        <v>0.23678395672007785</v>
      </c>
    </row>
    <row r="36" spans="1:9" ht="21.6" customHeight="1" x14ac:dyDescent="0.2">
      <c r="A36" s="86">
        <v>5</v>
      </c>
      <c r="B36" s="88" t="s">
        <v>58</v>
      </c>
      <c r="C36" s="324"/>
      <c r="D36" s="320"/>
      <c r="E36" s="320"/>
      <c r="F36" s="313"/>
      <c r="G36" s="313"/>
      <c r="H36" s="310"/>
      <c r="I36" s="316"/>
    </row>
    <row r="37" spans="1:9" ht="21.6" customHeight="1" x14ac:dyDescent="0.2">
      <c r="A37" s="86">
        <v>6</v>
      </c>
      <c r="B37" s="88" t="s">
        <v>59</v>
      </c>
      <c r="C37" s="46" t="s">
        <v>62</v>
      </c>
      <c r="D37" s="193">
        <f>+D35</f>
        <v>2631.2482429999995</v>
      </c>
      <c r="E37" s="193">
        <f>+E35</f>
        <v>7414.2793650000003</v>
      </c>
      <c r="F37" s="218">
        <f>+F35</f>
        <v>2150.5244679999992</v>
      </c>
      <c r="G37" s="218">
        <f>+G35</f>
        <v>5994.8055799999993</v>
      </c>
      <c r="H37" s="165">
        <f t="shared" si="0"/>
        <v>0.22353792395911515</v>
      </c>
      <c r="I37" s="169">
        <f t="shared" si="0"/>
        <v>0.23678395672007785</v>
      </c>
    </row>
    <row r="38" spans="1:9" ht="21.6" customHeight="1" x14ac:dyDescent="0.2">
      <c r="A38" s="86">
        <v>7</v>
      </c>
      <c r="B38" s="88" t="s">
        <v>60</v>
      </c>
      <c r="C38" s="46" t="s">
        <v>34</v>
      </c>
      <c r="D38" s="230">
        <f>+D37/D34</f>
        <v>0.99309999999999987</v>
      </c>
      <c r="E38" s="230">
        <f>+E37/E34</f>
        <v>0.97530000000000006</v>
      </c>
      <c r="F38" s="172">
        <f>+F37/F34</f>
        <v>1.0288999999999999</v>
      </c>
      <c r="G38" s="172">
        <f>+G37/G34</f>
        <v>0.98199999999999998</v>
      </c>
      <c r="H38" s="165">
        <f>D38-F38</f>
        <v>-3.5800000000000054E-2</v>
      </c>
      <c r="I38" s="165">
        <f>E38-G38</f>
        <v>-6.6999999999999282E-3</v>
      </c>
    </row>
    <row r="39" spans="1:9" ht="21.6" customHeight="1" thickBot="1" x14ac:dyDescent="0.25">
      <c r="A39" s="89"/>
      <c r="B39" s="90"/>
      <c r="C39" s="21"/>
      <c r="D39" s="214"/>
      <c r="E39" s="214"/>
      <c r="F39" s="21"/>
      <c r="G39" s="21"/>
      <c r="H39" s="154"/>
      <c r="I39" s="156"/>
    </row>
    <row r="40" spans="1:9" ht="18" x14ac:dyDescent="0.2">
      <c r="F40" s="91"/>
      <c r="G40" s="91"/>
      <c r="H40" s="5"/>
      <c r="I40" s="5"/>
    </row>
    <row r="42" spans="1:9" x14ac:dyDescent="0.2">
      <c r="E42" s="194"/>
    </row>
    <row r="43" spans="1:9" ht="41.25" customHeight="1" x14ac:dyDescent="0.3">
      <c r="A43" s="318"/>
      <c r="B43" s="318"/>
      <c r="E43" s="23"/>
      <c r="F43" s="200"/>
    </row>
    <row r="47" spans="1:9" ht="18" x14ac:dyDescent="0.25">
      <c r="D47" s="182"/>
      <c r="E47" s="182"/>
      <c r="F47" s="199"/>
    </row>
    <row r="48" spans="1:9" ht="20.25" x14ac:dyDescent="0.3">
      <c r="F48" s="200"/>
    </row>
    <row r="56" spans="4:4" x14ac:dyDescent="0.2">
      <c r="D56" s="92"/>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zoomScale="60" zoomScaleNormal="50" workbookViewId="0">
      <selection activeCell="L35" sqref="L35"/>
    </sheetView>
  </sheetViews>
  <sheetFormatPr defaultColWidth="9.140625" defaultRowHeight="12.75" x14ac:dyDescent="0.2"/>
  <cols>
    <col min="1" max="1" width="8" style="81" customWidth="1"/>
    <col min="2" max="2" width="62.7109375" style="81" customWidth="1"/>
    <col min="3" max="3" width="22" style="81" customWidth="1"/>
    <col min="4" max="4" width="23" style="81" customWidth="1"/>
    <col min="5" max="5" width="24.42578125" style="81" customWidth="1"/>
    <col min="6" max="6" width="20.42578125" style="81" customWidth="1"/>
    <col min="7" max="7" width="25" style="81" customWidth="1"/>
    <col min="8" max="9" width="21.85546875" style="81" bestFit="1" customWidth="1"/>
    <col min="10" max="10" width="9.140625" style="81"/>
    <col min="11" max="11" width="15.28515625" style="81" bestFit="1" customWidth="1"/>
    <col min="12" max="12" width="21.85546875" style="81" bestFit="1" customWidth="1"/>
    <col min="13" max="16384" width="9.140625" style="81"/>
  </cols>
  <sheetData>
    <row r="2" spans="1:9" ht="33" x14ac:dyDescent="0.2">
      <c r="I2" s="82" t="s">
        <v>80</v>
      </c>
    </row>
    <row r="5" spans="1:9" ht="34.5" x14ac:dyDescent="0.55000000000000004">
      <c r="A5" s="336" t="s">
        <v>0</v>
      </c>
      <c r="B5" s="336"/>
      <c r="C5" s="336"/>
      <c r="D5" s="336"/>
      <c r="E5" s="336"/>
      <c r="F5" s="336"/>
      <c r="G5" s="336"/>
      <c r="H5" s="336"/>
      <c r="I5" s="336"/>
    </row>
    <row r="6" spans="1:9" ht="18" customHeight="1" x14ac:dyDescent="0.4">
      <c r="A6" s="83"/>
      <c r="B6" s="83"/>
      <c r="C6" s="83"/>
      <c r="D6" s="83"/>
      <c r="E6" s="83"/>
    </row>
    <row r="8" spans="1:9" ht="30" x14ac:dyDescent="0.2">
      <c r="A8" s="327" t="s">
        <v>79</v>
      </c>
      <c r="B8" s="327"/>
      <c r="C8" s="327"/>
      <c r="D8" s="327"/>
      <c r="E8" s="327"/>
      <c r="F8" s="327"/>
      <c r="G8" s="327"/>
      <c r="H8" s="327"/>
      <c r="I8" s="327"/>
    </row>
    <row r="10" spans="1:9" ht="30" x14ac:dyDescent="0.2">
      <c r="A10" s="327" t="s">
        <v>78</v>
      </c>
      <c r="B10" s="327"/>
      <c r="C10" s="327"/>
      <c r="D10" s="327"/>
      <c r="E10" s="327"/>
      <c r="F10" s="327"/>
      <c r="G10" s="327"/>
      <c r="H10" s="327"/>
      <c r="I10" s="327"/>
    </row>
    <row r="11" spans="1:9" ht="13.5" thickBot="1" x14ac:dyDescent="0.25"/>
    <row r="12" spans="1:9" ht="24" customHeight="1" x14ac:dyDescent="0.2">
      <c r="A12" s="84"/>
      <c r="B12" s="85"/>
      <c r="C12" s="85"/>
      <c r="D12" s="334" t="s">
        <v>16</v>
      </c>
      <c r="E12" s="334"/>
      <c r="F12" s="334" t="s">
        <v>66</v>
      </c>
      <c r="G12" s="334"/>
      <c r="H12" s="337" t="s">
        <v>17</v>
      </c>
      <c r="I12" s="335"/>
    </row>
    <row r="13" spans="1:9" ht="24" customHeight="1" x14ac:dyDescent="0.2">
      <c r="A13" s="86"/>
      <c r="B13" s="46"/>
      <c r="C13" s="46"/>
      <c r="D13" s="46" t="s">
        <v>14</v>
      </c>
      <c r="E13" s="46" t="s">
        <v>15</v>
      </c>
      <c r="F13" s="46" t="s">
        <v>14</v>
      </c>
      <c r="G13" s="46" t="s">
        <v>15</v>
      </c>
      <c r="H13" s="333" t="s">
        <v>14</v>
      </c>
      <c r="I13" s="338" t="s">
        <v>15</v>
      </c>
    </row>
    <row r="14" spans="1:9" ht="33" customHeight="1" x14ac:dyDescent="0.2">
      <c r="A14" s="86"/>
      <c r="B14" s="46"/>
      <c r="C14" s="46"/>
      <c r="D14" s="333" t="str">
        <f>+'SHEET-1'!D14:E14</f>
        <v>Oct-2022 to December-2022</v>
      </c>
      <c r="E14" s="333"/>
      <c r="F14" s="333" t="str">
        <f>+'SHEET-1'!F14:G14</f>
        <v>Oct-2021 to December-2021</v>
      </c>
      <c r="G14" s="333"/>
      <c r="H14" s="333"/>
      <c r="I14" s="338"/>
    </row>
    <row r="15" spans="1:9" ht="24" customHeight="1" x14ac:dyDescent="0.2">
      <c r="A15" s="86" t="s">
        <v>63</v>
      </c>
      <c r="B15" s="46" t="s">
        <v>76</v>
      </c>
      <c r="C15" s="46"/>
      <c r="D15" s="159"/>
      <c r="E15" s="159"/>
      <c r="F15" s="159"/>
      <c r="G15" s="159"/>
      <c r="H15" s="159"/>
      <c r="I15" s="160"/>
    </row>
    <row r="16" spans="1:9" ht="24" customHeight="1" x14ac:dyDescent="0.2">
      <c r="A16" s="86">
        <v>1</v>
      </c>
      <c r="B16" s="88" t="s">
        <v>123</v>
      </c>
      <c r="C16" s="46" t="s">
        <v>77</v>
      </c>
      <c r="D16" s="184">
        <f>ROUND(+('SHEET-3'!D15/'SHEET-1'!D22)*10,2)</f>
        <v>6.6</v>
      </c>
      <c r="E16" s="163">
        <f>ROUND(+('SHEET-3'!E15/'SHEET-1'!E22)*10,2)</f>
        <v>5.89</v>
      </c>
      <c r="F16" s="218">
        <f>ROUND(+('[7]SHEET-3'!F15/'[7]SHEET-1'!F22)*10,2)</f>
        <v>5.46</v>
      </c>
      <c r="G16" s="218">
        <f>ROUND(+('[7]SHEET-3'!G15/'[7]SHEET-1'!G22)*10,2)</f>
        <v>5.01</v>
      </c>
      <c r="H16" s="164">
        <f>(D16-F16)/F16</f>
        <v>0.20879120879120874</v>
      </c>
      <c r="I16" s="162">
        <f>(E16-G16)/G16</f>
        <v>0.17564870259481036</v>
      </c>
    </row>
    <row r="17" spans="1:12" ht="24" customHeight="1" x14ac:dyDescent="0.2">
      <c r="A17" s="86">
        <v>2</v>
      </c>
      <c r="B17" s="88" t="s">
        <v>69</v>
      </c>
      <c r="C17" s="46" t="s">
        <v>77</v>
      </c>
      <c r="D17" s="163"/>
      <c r="E17" s="163"/>
      <c r="F17" s="218"/>
      <c r="G17" s="218"/>
      <c r="H17" s="20"/>
      <c r="I17" s="174"/>
    </row>
    <row r="18" spans="1:12" ht="24" customHeight="1" x14ac:dyDescent="0.2">
      <c r="A18" s="86">
        <v>3</v>
      </c>
      <c r="B18" s="88" t="s">
        <v>70</v>
      </c>
      <c r="C18" s="46" t="s">
        <v>77</v>
      </c>
      <c r="D18" s="163"/>
      <c r="E18" s="163"/>
      <c r="F18" s="218"/>
      <c r="G18" s="218"/>
      <c r="H18" s="20"/>
      <c r="I18" s="174"/>
    </row>
    <row r="19" spans="1:12" ht="24" customHeight="1" x14ac:dyDescent="0.2">
      <c r="A19" s="86">
        <v>4</v>
      </c>
      <c r="B19" s="88" t="s">
        <v>71</v>
      </c>
      <c r="C19" s="46" t="s">
        <v>77</v>
      </c>
      <c r="D19" s="163"/>
      <c r="E19" s="163"/>
      <c r="F19" s="218"/>
      <c r="G19" s="218"/>
      <c r="H19" s="20"/>
      <c r="I19" s="174"/>
    </row>
    <row r="20" spans="1:12" ht="24" customHeight="1" x14ac:dyDescent="0.2">
      <c r="A20" s="86">
        <v>5</v>
      </c>
      <c r="B20" s="88" t="s">
        <v>72</v>
      </c>
      <c r="C20" s="46" t="s">
        <v>77</v>
      </c>
      <c r="D20" s="163"/>
      <c r="E20" s="163"/>
      <c r="F20" s="218"/>
      <c r="G20" s="218"/>
      <c r="H20" s="20"/>
      <c r="I20" s="174"/>
    </row>
    <row r="21" spans="1:12" ht="28.5" customHeight="1" x14ac:dyDescent="0.2">
      <c r="A21" s="86">
        <v>6</v>
      </c>
      <c r="B21" s="88" t="s">
        <v>228</v>
      </c>
      <c r="C21" s="46" t="s">
        <v>77</v>
      </c>
      <c r="D21" s="163">
        <f>ROUND(+('SHEET-3'!D23/'SHEET-1'!D27)*10,2)</f>
        <v>8.2200000000000006</v>
      </c>
      <c r="E21" s="184">
        <f>ROUND(+('SHEET-3'!E23/'SHEET-1'!E27)*10,2)</f>
        <v>7.64</v>
      </c>
      <c r="F21" s="218">
        <f>ROUND(+('SHEET-3'!F23/'SHEET-1'!F27)*10,2)</f>
        <v>7.14</v>
      </c>
      <c r="G21" s="218">
        <f>ROUND(+('SHEET-3'!G23/'SHEET-1'!G27)*10,2)</f>
        <v>6.71</v>
      </c>
      <c r="H21" s="164">
        <f>(D21-F21)/F21</f>
        <v>0.1512605042016808</v>
      </c>
      <c r="I21" s="162">
        <f>(E21-G21)/G21</f>
        <v>0.13859910581222051</v>
      </c>
    </row>
    <row r="22" spans="1:12" ht="24" customHeight="1" x14ac:dyDescent="0.2">
      <c r="A22" s="86"/>
      <c r="B22" s="46"/>
      <c r="C22" s="46"/>
      <c r="D22" s="163"/>
      <c r="E22" s="163"/>
      <c r="F22" s="218"/>
      <c r="G22" s="218"/>
      <c r="H22" s="20"/>
      <c r="I22" s="174"/>
    </row>
    <row r="23" spans="1:12" ht="24" customHeight="1" x14ac:dyDescent="0.2">
      <c r="A23" s="86" t="s">
        <v>64</v>
      </c>
      <c r="B23" s="46" t="s">
        <v>106</v>
      </c>
      <c r="C23" s="46"/>
      <c r="D23" s="163"/>
      <c r="E23" s="163"/>
      <c r="F23" s="218"/>
      <c r="G23" s="218"/>
      <c r="H23" s="158"/>
      <c r="I23" s="174"/>
    </row>
    <row r="24" spans="1:12" ht="24" customHeight="1" x14ac:dyDescent="0.25">
      <c r="A24" s="86">
        <v>1</v>
      </c>
      <c r="B24" s="88" t="s">
        <v>4</v>
      </c>
      <c r="C24" s="46" t="s">
        <v>77</v>
      </c>
      <c r="D24" s="163">
        <f>ROUND(+'SHEET-5'!D32/100,2)</f>
        <v>8.4</v>
      </c>
      <c r="E24" s="184">
        <f>ROUND(+'SHEET-5'!E32/100,2)</f>
        <v>8.0299999999999994</v>
      </c>
      <c r="F24" s="218">
        <f>ROUND(+'[7]SHEET-5'!F32/100,2)</f>
        <v>7.12</v>
      </c>
      <c r="G24" s="218">
        <f>ROUND(+'[7]SHEET-5'!G32/100,2)</f>
        <v>6.71</v>
      </c>
      <c r="H24" s="164">
        <f t="shared" ref="H24:I26" si="0">(D24-F24)/F24</f>
        <v>0.17977528089887643</v>
      </c>
      <c r="I24" s="162">
        <f t="shared" si="0"/>
        <v>0.19672131147540975</v>
      </c>
      <c r="K24" s="93"/>
      <c r="L24" s="93"/>
    </row>
    <row r="25" spans="1:12" ht="24" customHeight="1" x14ac:dyDescent="0.25">
      <c r="A25" s="86">
        <v>2</v>
      </c>
      <c r="B25" s="88" t="s">
        <v>73</v>
      </c>
      <c r="C25" s="46" t="s">
        <v>77</v>
      </c>
      <c r="D25" s="163">
        <f>ROUND(+'SHEET-5'!D39/100,2)</f>
        <v>6.89</v>
      </c>
      <c r="E25" s="184">
        <f>ROUND(+'SHEET-5'!E39/100,2)</f>
        <v>6.18</v>
      </c>
      <c r="F25" s="218">
        <f>ROUND(+'[7]SHEET-5'!F39/100,2)</f>
        <v>6.5</v>
      </c>
      <c r="G25" s="218">
        <f>ROUND(+'[7]SHEET-5'!G39/100,2)</f>
        <v>6</v>
      </c>
      <c r="H25" s="164">
        <f t="shared" si="0"/>
        <v>5.9999999999999949E-2</v>
      </c>
      <c r="I25" s="162">
        <f t="shared" si="0"/>
        <v>2.9999999999999954E-2</v>
      </c>
      <c r="K25" s="93"/>
      <c r="L25" s="93"/>
    </row>
    <row r="26" spans="1:12" ht="24" customHeight="1" x14ac:dyDescent="0.25">
      <c r="A26" s="94">
        <v>3</v>
      </c>
      <c r="B26" s="95" t="s">
        <v>74</v>
      </c>
      <c r="C26" s="46" t="s">
        <v>77</v>
      </c>
      <c r="D26" s="157">
        <f>ROUND(+'SHEET-5'!D40/100,2)</f>
        <v>7.58</v>
      </c>
      <c r="E26" s="183">
        <f>ROUND(+'SHEET-5'!E40/100,2)</f>
        <v>6.98</v>
      </c>
      <c r="F26" s="232">
        <f>ROUND(+'[7]SHEET-5'!F40/100,2)</f>
        <v>6.81</v>
      </c>
      <c r="G26" s="232">
        <f>ROUND(+'[7]SHEET-5'!G40/100,2)</f>
        <v>6.31</v>
      </c>
      <c r="H26" s="164">
        <f t="shared" si="0"/>
        <v>0.11306901615271667</v>
      </c>
      <c r="I26" s="162">
        <f t="shared" si="0"/>
        <v>0.10618066561014276</v>
      </c>
      <c r="K26" s="93"/>
      <c r="L26" s="93"/>
    </row>
    <row r="27" spans="1:12" ht="24" customHeight="1" x14ac:dyDescent="0.2">
      <c r="A27" s="94"/>
      <c r="B27" s="95"/>
      <c r="C27" s="87"/>
      <c r="D27" s="157"/>
      <c r="E27" s="157"/>
      <c r="F27" s="157"/>
      <c r="G27" s="157"/>
      <c r="H27" s="49"/>
      <c r="I27" s="96"/>
    </row>
    <row r="28" spans="1:12" ht="24" customHeight="1" thickBot="1" x14ac:dyDescent="0.25">
      <c r="A28" s="89"/>
      <c r="B28" s="90" t="s">
        <v>75</v>
      </c>
      <c r="C28" s="21"/>
      <c r="D28" s="97"/>
      <c r="E28" s="97"/>
      <c r="F28" s="97"/>
      <c r="G28" s="97"/>
      <c r="H28" s="98"/>
      <c r="I28" s="99"/>
    </row>
    <row r="30" spans="1:12" ht="15.75" x14ac:dyDescent="0.2">
      <c r="F30" s="100"/>
      <c r="G30" s="100"/>
      <c r="H30" s="100"/>
    </row>
    <row r="35" spans="1:2" ht="12.75" customHeight="1" x14ac:dyDescent="0.2">
      <c r="A35" s="318"/>
      <c r="B35" s="318"/>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7"/>
  <sheetViews>
    <sheetView view="pageBreakPreview" topLeftCell="A7" zoomScale="60" zoomScaleNormal="60" workbookViewId="0">
      <selection activeCell="E52" sqref="E52"/>
    </sheetView>
  </sheetViews>
  <sheetFormatPr defaultColWidth="9.140625" defaultRowHeight="12.75" x14ac:dyDescent="0.2"/>
  <cols>
    <col min="1" max="1" width="8" style="81" customWidth="1"/>
    <col min="2" max="2" width="76.42578125" style="81" customWidth="1"/>
    <col min="3" max="3" width="22" style="81" customWidth="1"/>
    <col min="4" max="4" width="25" style="81" customWidth="1"/>
    <col min="5" max="5" width="23.5703125" style="81" customWidth="1"/>
    <col min="6" max="6" width="24.42578125" style="81" customWidth="1"/>
    <col min="7" max="7" width="23.5703125" style="81" customWidth="1"/>
    <col min="8" max="8" width="19.5703125" style="81" customWidth="1"/>
    <col min="9" max="9" width="21.28515625" style="81" customWidth="1"/>
    <col min="10" max="10" width="9.85546875" style="81" bestFit="1" customWidth="1"/>
    <col min="11" max="11" width="9.140625" style="81"/>
    <col min="12" max="13" width="15.85546875" style="81" bestFit="1" customWidth="1"/>
    <col min="14" max="16384" width="9.140625" style="81"/>
  </cols>
  <sheetData>
    <row r="2" spans="1:11" ht="30" x14ac:dyDescent="0.2">
      <c r="I2" s="101" t="s">
        <v>43</v>
      </c>
    </row>
    <row r="5" spans="1:11" ht="30" x14ac:dyDescent="0.45">
      <c r="A5" s="339" t="s">
        <v>0</v>
      </c>
      <c r="B5" s="339"/>
      <c r="C5" s="339"/>
      <c r="D5" s="339"/>
      <c r="E5" s="339"/>
      <c r="F5" s="339"/>
      <c r="G5" s="339"/>
      <c r="H5" s="339"/>
      <c r="I5" s="339"/>
    </row>
    <row r="6" spans="1:11" ht="18" customHeight="1" x14ac:dyDescent="0.4">
      <c r="A6" s="83"/>
      <c r="B6" s="83"/>
      <c r="C6" s="83"/>
      <c r="D6" s="83"/>
      <c r="E6" s="83"/>
    </row>
    <row r="8" spans="1:11" ht="27.75" x14ac:dyDescent="0.2">
      <c r="A8" s="340" t="s">
        <v>42</v>
      </c>
      <c r="B8" s="340"/>
      <c r="C8" s="340"/>
      <c r="D8" s="340"/>
      <c r="E8" s="340"/>
      <c r="F8" s="340"/>
      <c r="G8" s="340"/>
      <c r="H8" s="340"/>
      <c r="I8" s="340"/>
    </row>
    <row r="10" spans="1:11" ht="27.75" x14ac:dyDescent="0.2">
      <c r="A10" s="340" t="s">
        <v>41</v>
      </c>
      <c r="B10" s="340"/>
      <c r="C10" s="340"/>
      <c r="D10" s="340"/>
      <c r="E10" s="340"/>
      <c r="F10" s="340"/>
      <c r="G10" s="340"/>
      <c r="H10" s="340"/>
      <c r="I10" s="340"/>
    </row>
    <row r="11" spans="1:11" ht="13.5" thickBot="1" x14ac:dyDescent="0.25"/>
    <row r="12" spans="1:11" ht="21.6" customHeight="1" x14ac:dyDescent="0.2">
      <c r="A12" s="84"/>
      <c r="B12" s="85"/>
      <c r="C12" s="85"/>
      <c r="D12" s="334" t="s">
        <v>105</v>
      </c>
      <c r="E12" s="334"/>
      <c r="F12" s="334" t="s">
        <v>66</v>
      </c>
      <c r="G12" s="334"/>
      <c r="H12" s="334" t="s">
        <v>17</v>
      </c>
      <c r="I12" s="335"/>
    </row>
    <row r="13" spans="1:11" ht="21.6" customHeight="1" x14ac:dyDescent="0.2">
      <c r="A13" s="86"/>
      <c r="B13" s="46"/>
      <c r="C13" s="46"/>
      <c r="D13" s="46" t="s">
        <v>14</v>
      </c>
      <c r="E13" s="46" t="s">
        <v>15</v>
      </c>
      <c r="F13" s="46" t="s">
        <v>14</v>
      </c>
      <c r="G13" s="46" t="s">
        <v>15</v>
      </c>
      <c r="H13" s="333" t="s">
        <v>14</v>
      </c>
      <c r="I13" s="328" t="s">
        <v>15</v>
      </c>
    </row>
    <row r="14" spans="1:11" ht="33" customHeight="1" x14ac:dyDescent="0.2">
      <c r="A14" s="86"/>
      <c r="B14" s="46"/>
      <c r="C14" s="46"/>
      <c r="D14" s="333" t="str">
        <f>+'SHEET-2'!D14:E14</f>
        <v>Oct-2022 to December-2022</v>
      </c>
      <c r="E14" s="333"/>
      <c r="F14" s="333" t="str">
        <f>+'SHEET-2'!F14:G14</f>
        <v>Oct-2021 to December-2021</v>
      </c>
      <c r="G14" s="333"/>
      <c r="H14" s="323"/>
      <c r="I14" s="328"/>
    </row>
    <row r="15" spans="1:11" ht="24" customHeight="1" x14ac:dyDescent="0.25">
      <c r="A15" s="86">
        <v>1</v>
      </c>
      <c r="B15" s="88" t="s">
        <v>125</v>
      </c>
      <c r="C15" s="46" t="s">
        <v>13</v>
      </c>
      <c r="D15" s="191">
        <f>+E15-4292.05</f>
        <v>2278.33</v>
      </c>
      <c r="E15" s="218">
        <v>6570.38</v>
      </c>
      <c r="F15" s="218">
        <v>1718.53</v>
      </c>
      <c r="G15" s="218">
        <v>4964.53</v>
      </c>
      <c r="H15" s="164">
        <f t="shared" ref="H15:I21" si="0">(D15-F15)/F15</f>
        <v>0.32574351335152718</v>
      </c>
      <c r="I15" s="171">
        <f t="shared" si="0"/>
        <v>0.32346465828588011</v>
      </c>
      <c r="J15" s="192"/>
      <c r="K15" s="197"/>
    </row>
    <row r="16" spans="1:11" ht="24" customHeight="1" x14ac:dyDescent="0.25">
      <c r="A16" s="86">
        <v>2</v>
      </c>
      <c r="B16" s="88" t="s">
        <v>25</v>
      </c>
      <c r="C16" s="46" t="s">
        <v>13</v>
      </c>
      <c r="D16" s="163">
        <f>+E16-291.8</f>
        <v>158.36000000000001</v>
      </c>
      <c r="E16" s="218">
        <v>450.16</v>
      </c>
      <c r="F16" s="218">
        <f>144.56+6.39</f>
        <v>150.94999999999999</v>
      </c>
      <c r="G16" s="218">
        <f>+'SHEET-7'!D23</f>
        <v>434.99</v>
      </c>
      <c r="H16" s="164">
        <f t="shared" si="0"/>
        <v>4.908910235177228E-2</v>
      </c>
      <c r="I16" s="171">
        <f t="shared" si="0"/>
        <v>3.4874364927929412E-2</v>
      </c>
      <c r="J16" s="192"/>
    </row>
    <row r="17" spans="1:13" ht="24" customHeight="1" x14ac:dyDescent="0.25">
      <c r="A17" s="86">
        <v>3</v>
      </c>
      <c r="B17" s="88" t="s">
        <v>26</v>
      </c>
      <c r="C17" s="46" t="s">
        <v>13</v>
      </c>
      <c r="D17" s="163">
        <f>+E17-24.28</f>
        <v>12.149999999999999</v>
      </c>
      <c r="E17" s="218">
        <v>36.43</v>
      </c>
      <c r="F17" s="218">
        <v>14.11</v>
      </c>
      <c r="G17" s="218">
        <f>+'SHEET-7'!D29</f>
        <v>40.06</v>
      </c>
      <c r="H17" s="164">
        <f t="shared" si="0"/>
        <v>-0.1389085754783842</v>
      </c>
      <c r="I17" s="171">
        <f t="shared" si="0"/>
        <v>-9.0614078881677537E-2</v>
      </c>
      <c r="J17" s="192"/>
    </row>
    <row r="18" spans="1:13" ht="24" customHeight="1" x14ac:dyDescent="0.3">
      <c r="A18" s="86">
        <v>4</v>
      </c>
      <c r="B18" s="88" t="s">
        <v>27</v>
      </c>
      <c r="C18" s="46" t="s">
        <v>13</v>
      </c>
      <c r="D18" s="163">
        <f>+E18-40.86</f>
        <v>20.420000000000002</v>
      </c>
      <c r="E18" s="218">
        <v>61.28</v>
      </c>
      <c r="F18" s="218">
        <f>+G18-40.64</f>
        <v>19.259999999999998</v>
      </c>
      <c r="G18" s="218">
        <f>+'SHEET-7'!D24</f>
        <v>59.9</v>
      </c>
      <c r="H18" s="164">
        <f t="shared" si="0"/>
        <v>6.0228452751817436E-2</v>
      </c>
      <c r="I18" s="171">
        <f>(E18-G18)/G18</f>
        <v>2.3038397328881511E-2</v>
      </c>
      <c r="J18" s="192"/>
      <c r="L18" s="102"/>
      <c r="M18" s="102"/>
    </row>
    <row r="19" spans="1:13" ht="24" customHeight="1" x14ac:dyDescent="0.3">
      <c r="A19" s="86">
        <v>5</v>
      </c>
      <c r="B19" s="88" t="s">
        <v>28</v>
      </c>
      <c r="C19" s="46" t="s">
        <v>13</v>
      </c>
      <c r="D19" s="163">
        <f>+E19-134.76</f>
        <v>75.650000000000006</v>
      </c>
      <c r="E19" s="218">
        <v>210.41</v>
      </c>
      <c r="F19" s="218">
        <f>+G19-142.73</f>
        <v>58.710000000000008</v>
      </c>
      <c r="G19" s="218">
        <f>+'SHEET-7'!D28</f>
        <v>201.44</v>
      </c>
      <c r="H19" s="164">
        <f t="shared" si="0"/>
        <v>0.28853687617100998</v>
      </c>
      <c r="I19" s="171">
        <f>(E19-G19)/G19</f>
        <v>4.4529388403494831E-2</v>
      </c>
      <c r="J19" s="192"/>
      <c r="L19" s="103"/>
      <c r="M19" s="103"/>
    </row>
    <row r="20" spans="1:13" ht="24" customHeight="1" x14ac:dyDescent="0.3">
      <c r="A20" s="86">
        <v>6</v>
      </c>
      <c r="B20" s="88" t="s">
        <v>29</v>
      </c>
      <c r="C20" s="46" t="s">
        <v>13</v>
      </c>
      <c r="D20" s="163">
        <f>+E20-46.94</f>
        <v>24.25</v>
      </c>
      <c r="E20" s="218">
        <v>71.19</v>
      </c>
      <c r="F20" s="218">
        <f>+G20-42.19</f>
        <v>20.940000000000005</v>
      </c>
      <c r="G20" s="218">
        <f>+'SHEET-7'!D25</f>
        <v>63.13</v>
      </c>
      <c r="H20" s="172">
        <f t="shared" si="0"/>
        <v>0.15807067812798445</v>
      </c>
      <c r="I20" s="173">
        <f>(E20-G20)/G20</f>
        <v>0.12767305559955638</v>
      </c>
      <c r="J20" s="192"/>
      <c r="L20" s="103"/>
      <c r="M20" s="103"/>
    </row>
    <row r="21" spans="1:13" ht="24" customHeight="1" x14ac:dyDescent="0.3">
      <c r="A21" s="86" t="s">
        <v>116</v>
      </c>
      <c r="B21" s="88" t="s">
        <v>117</v>
      </c>
      <c r="C21" s="46" t="s">
        <v>13</v>
      </c>
      <c r="D21" s="191">
        <v>0</v>
      </c>
      <c r="E21" s="218">
        <f>+'SHEET-7'!C32</f>
        <v>0</v>
      </c>
      <c r="F21" s="218">
        <f>+G21+20.11</f>
        <v>-7.09</v>
      </c>
      <c r="G21" s="218">
        <f>+'SHEET-7'!D32</f>
        <v>-27.2</v>
      </c>
      <c r="H21" s="190">
        <f t="shared" si="0"/>
        <v>-1</v>
      </c>
      <c r="I21" s="190">
        <f t="shared" si="0"/>
        <v>-1</v>
      </c>
      <c r="J21" s="192"/>
      <c r="L21" s="103"/>
      <c r="M21" s="103"/>
    </row>
    <row r="22" spans="1:13" ht="24" customHeight="1" x14ac:dyDescent="0.3">
      <c r="A22" s="86">
        <v>7</v>
      </c>
      <c r="B22" s="88" t="s">
        <v>124</v>
      </c>
      <c r="C22" s="46" t="s">
        <v>13</v>
      </c>
      <c r="D22" s="163">
        <f>+E22-26.3</f>
        <v>13.16</v>
      </c>
      <c r="E22" s="218">
        <v>39.46</v>
      </c>
      <c r="F22" s="218">
        <v>18.79</v>
      </c>
      <c r="G22" s="218">
        <f>+'SHEET-7'!D26</f>
        <v>25.97</v>
      </c>
      <c r="H22" s="201">
        <f t="shared" ref="H22" si="1">(D22-F22)/F22</f>
        <v>-0.29962746141564656</v>
      </c>
      <c r="I22" s="201">
        <f t="shared" ref="I22" si="2">(E22-G22)/G22</f>
        <v>0.51944551405467854</v>
      </c>
      <c r="J22" s="192"/>
      <c r="L22" s="103"/>
      <c r="M22" s="103"/>
    </row>
    <row r="23" spans="1:13" ht="24" customHeight="1" x14ac:dyDescent="0.2">
      <c r="A23" s="86">
        <v>8</v>
      </c>
      <c r="B23" s="88" t="s">
        <v>30</v>
      </c>
      <c r="C23" s="46" t="s">
        <v>13</v>
      </c>
      <c r="D23" s="22">
        <f>+SUM(D15:D22)</f>
        <v>2582.3200000000002</v>
      </c>
      <c r="E23" s="219">
        <f>+SUM(E15:E22)</f>
        <v>7439.3099999999995</v>
      </c>
      <c r="F23" s="219">
        <f>+SUM(F15:F22)</f>
        <v>1994.2</v>
      </c>
      <c r="G23" s="219">
        <f>+SUM(G15:G22)</f>
        <v>5762.82</v>
      </c>
      <c r="H23" s="164">
        <f t="shared" ref="H23:I32" si="3">(D23-F23)/F23</f>
        <v>0.2949152542372882</v>
      </c>
      <c r="I23" s="171">
        <f t="shared" si="3"/>
        <v>0.29091486459754079</v>
      </c>
      <c r="J23" s="92"/>
    </row>
    <row r="24" spans="1:13" ht="24" customHeight="1" x14ac:dyDescent="0.2">
      <c r="A24" s="86"/>
      <c r="B24" s="207" t="s">
        <v>233</v>
      </c>
      <c r="C24" s="202"/>
      <c r="D24" s="22"/>
      <c r="E24" s="219"/>
      <c r="F24" s="219"/>
      <c r="G24" s="219"/>
      <c r="H24" s="203"/>
      <c r="I24" s="171"/>
      <c r="J24" s="92"/>
    </row>
    <row r="25" spans="1:13" ht="24" customHeight="1" x14ac:dyDescent="0.2">
      <c r="A25" s="86">
        <v>9</v>
      </c>
      <c r="B25" s="88" t="s">
        <v>87</v>
      </c>
      <c r="C25" s="202" t="s">
        <v>13</v>
      </c>
      <c r="D25" s="191">
        <f>+E25-143.91</f>
        <v>71.960000000000008</v>
      </c>
      <c r="E25" s="218">
        <v>215.87</v>
      </c>
      <c r="F25" s="218">
        <f>+G25-77.65</f>
        <v>25.36</v>
      </c>
      <c r="G25" s="218">
        <f>+'SHEET-7'!D14</f>
        <v>103.01</v>
      </c>
      <c r="H25" s="203">
        <f t="shared" ref="H25" si="4">(D25-F25)/F25</f>
        <v>1.8375394321766565</v>
      </c>
      <c r="I25" s="171">
        <f t="shared" ref="I25" si="5">(E25-G25)/G25</f>
        <v>1.0956217842927871</v>
      </c>
    </row>
    <row r="26" spans="1:13" ht="24" customHeight="1" x14ac:dyDescent="0.2">
      <c r="A26" s="86">
        <v>10</v>
      </c>
      <c r="B26" s="88" t="s">
        <v>107</v>
      </c>
      <c r="C26" s="46" t="s">
        <v>13</v>
      </c>
      <c r="D26" s="163">
        <f>+E26-4472.97</f>
        <v>2436.8199999999997</v>
      </c>
      <c r="E26" s="218">
        <v>6909.79</v>
      </c>
      <c r="F26" s="218">
        <f>+G26-3566.49-17.65</f>
        <v>1949.3800000000006</v>
      </c>
      <c r="G26" s="218">
        <f>+'SHEET-7'!D11</f>
        <v>5533.52</v>
      </c>
      <c r="H26" s="164">
        <f t="shared" ref="H26:I28" si="6">(D26-F26)/F26</f>
        <v>0.2500487334434533</v>
      </c>
      <c r="I26" s="162">
        <f t="shared" si="6"/>
        <v>0.24871510358686685</v>
      </c>
    </row>
    <row r="27" spans="1:13" ht="24" customHeight="1" x14ac:dyDescent="0.2">
      <c r="A27" s="86">
        <v>11</v>
      </c>
      <c r="B27" s="88" t="s">
        <v>33</v>
      </c>
      <c r="C27" s="46" t="s">
        <v>13</v>
      </c>
      <c r="D27" s="163">
        <f>+E27-34.39</f>
        <v>17.200000000000003</v>
      </c>
      <c r="E27" s="218">
        <v>51.59</v>
      </c>
      <c r="F27" s="218">
        <f>+G27-42.42</f>
        <v>16.32</v>
      </c>
      <c r="G27" s="218">
        <f>+'SHEET-7'!D13</f>
        <v>58.74</v>
      </c>
      <c r="H27" s="164">
        <f t="shared" si="6"/>
        <v>5.3921568627451136E-2</v>
      </c>
      <c r="I27" s="162">
        <f t="shared" si="6"/>
        <v>-0.12172284644194754</v>
      </c>
    </row>
    <row r="28" spans="1:13" ht="24" customHeight="1" x14ac:dyDescent="0.2">
      <c r="A28" s="86">
        <v>12</v>
      </c>
      <c r="B28" s="88" t="s">
        <v>224</v>
      </c>
      <c r="C28" s="46" t="s">
        <v>13</v>
      </c>
      <c r="D28" s="163">
        <f>+E28-53.68</f>
        <v>0.31000000000000227</v>
      </c>
      <c r="E28" s="218">
        <v>53.99</v>
      </c>
      <c r="F28" s="218">
        <f>+G28-105.49</f>
        <v>18.11</v>
      </c>
      <c r="G28" s="218">
        <f>+'SHEET-7'!D12</f>
        <v>123.6</v>
      </c>
      <c r="H28" s="164">
        <f t="shared" si="6"/>
        <v>-0.98288238542241846</v>
      </c>
      <c r="I28" s="162">
        <f t="shared" si="6"/>
        <v>-0.56318770226537207</v>
      </c>
    </row>
    <row r="29" spans="1:13" ht="24" customHeight="1" x14ac:dyDescent="0.2">
      <c r="A29" s="86">
        <v>13</v>
      </c>
      <c r="B29" s="88" t="s">
        <v>234</v>
      </c>
      <c r="C29" s="202" t="s">
        <v>13</v>
      </c>
      <c r="D29" s="191">
        <f>+SUM(D25:D28)</f>
        <v>2526.2899999999995</v>
      </c>
      <c r="E29" s="218">
        <f t="shared" ref="E29" si="7">+SUM(E25:E28)</f>
        <v>7231.24</v>
      </c>
      <c r="F29" s="218">
        <f>+SUM(F25:F28)</f>
        <v>2009.1700000000003</v>
      </c>
      <c r="G29" s="218">
        <f t="shared" ref="G29" si="8">+SUM(G25:G28)</f>
        <v>5818.8700000000008</v>
      </c>
      <c r="H29" s="203">
        <f t="shared" ref="H29" si="9">(D29-F29)/F29</f>
        <v>0.25737991309844321</v>
      </c>
      <c r="I29" s="204">
        <f t="shared" ref="I29" si="10">(E29-G29)/G29</f>
        <v>0.24272238424298856</v>
      </c>
    </row>
    <row r="30" spans="1:13" ht="24" customHeight="1" x14ac:dyDescent="0.2">
      <c r="A30" s="86">
        <v>14</v>
      </c>
      <c r="B30" s="88" t="s">
        <v>118</v>
      </c>
      <c r="C30" s="46" t="s">
        <v>34</v>
      </c>
      <c r="D30" s="164">
        <f>D15/D23</f>
        <v>0.88228027510145912</v>
      </c>
      <c r="E30" s="164">
        <f>E15/E23</f>
        <v>0.88319750084349224</v>
      </c>
      <c r="F30" s="172">
        <f>F15/F23</f>
        <v>0.86176411593621494</v>
      </c>
      <c r="G30" s="172">
        <f>G15/G23</f>
        <v>0.86147580524812506</v>
      </c>
      <c r="H30" s="164">
        <f>D30-F30</f>
        <v>2.0516159165244185E-2</v>
      </c>
      <c r="I30" s="164">
        <f>E30-G30</f>
        <v>2.1721695595367185E-2</v>
      </c>
    </row>
    <row r="31" spans="1:13" ht="24" customHeight="1" x14ac:dyDescent="0.2">
      <c r="A31" s="86"/>
      <c r="B31" s="234" t="s">
        <v>240</v>
      </c>
      <c r="C31" s="235"/>
      <c r="D31" s="233">
        <f>+D29-D23</f>
        <v>-56.030000000000655</v>
      </c>
      <c r="E31" s="233">
        <f>+E29-E23</f>
        <v>-208.06999999999971</v>
      </c>
      <c r="F31" s="233">
        <f t="shared" ref="F31:G31" si="11">+F29-F23</f>
        <v>14.970000000000255</v>
      </c>
      <c r="G31" s="233">
        <f t="shared" si="11"/>
        <v>56.050000000001091</v>
      </c>
      <c r="H31" s="203"/>
      <c r="I31" s="206"/>
    </row>
    <row r="32" spans="1:13" ht="24" customHeight="1" x14ac:dyDescent="0.2">
      <c r="A32" s="86">
        <v>15</v>
      </c>
      <c r="B32" s="88" t="s">
        <v>31</v>
      </c>
      <c r="C32" s="46" t="s">
        <v>13</v>
      </c>
      <c r="D32" s="163">
        <f>+E32-30.21</f>
        <v>-41.55</v>
      </c>
      <c r="E32" s="163">
        <v>-11.34</v>
      </c>
      <c r="F32" s="218">
        <f>+G32-63.92</f>
        <v>92.52</v>
      </c>
      <c r="G32" s="218">
        <v>156.44</v>
      </c>
      <c r="H32" s="164">
        <f t="shared" si="3"/>
        <v>-1.4490920881971465</v>
      </c>
      <c r="I32" s="171">
        <f t="shared" si="3"/>
        <v>-1.0724878547686014</v>
      </c>
    </row>
    <row r="33" spans="1:9" ht="24" customHeight="1" x14ac:dyDescent="0.2">
      <c r="A33" s="86">
        <v>16</v>
      </c>
      <c r="B33" s="88" t="s">
        <v>32</v>
      </c>
      <c r="C33" s="46" t="s">
        <v>13</v>
      </c>
      <c r="D33" s="163">
        <v>0</v>
      </c>
      <c r="E33" s="163">
        <f>+D33</f>
        <v>0</v>
      </c>
      <c r="F33" s="218">
        <v>0</v>
      </c>
      <c r="G33" s="218">
        <f>+F33</f>
        <v>0</v>
      </c>
      <c r="H33" s="201">
        <v>0</v>
      </c>
      <c r="I33" s="171">
        <v>0</v>
      </c>
    </row>
    <row r="34" spans="1:9" ht="24" customHeight="1" x14ac:dyDescent="0.2">
      <c r="A34" s="86">
        <v>17</v>
      </c>
      <c r="B34" s="88" t="s">
        <v>229</v>
      </c>
      <c r="C34" s="46" t="s">
        <v>13</v>
      </c>
      <c r="D34" s="161">
        <v>0</v>
      </c>
      <c r="E34" s="161">
        <f>+D34</f>
        <v>0</v>
      </c>
      <c r="F34" s="218">
        <v>0</v>
      </c>
      <c r="G34" s="218">
        <f>+F34</f>
        <v>0</v>
      </c>
      <c r="H34" s="201">
        <v>0</v>
      </c>
      <c r="I34" s="171">
        <v>0</v>
      </c>
    </row>
    <row r="42" spans="1:9" ht="12.75" customHeight="1" x14ac:dyDescent="0.2">
      <c r="A42" s="318"/>
      <c r="B42" s="318"/>
    </row>
    <row r="57" spans="4:8" ht="23.25" x14ac:dyDescent="0.35">
      <c r="D57" s="104">
        <f>3+0.58+0.94</f>
        <v>4.5199999999999996</v>
      </c>
      <c r="E57" s="104">
        <v>30066980.798</v>
      </c>
      <c r="F57" s="81">
        <v>5786401.75</v>
      </c>
      <c r="G57" s="105">
        <v>9381444.3800000008</v>
      </c>
      <c r="H57" s="81">
        <v>87524122.379999995</v>
      </c>
    </row>
    <row r="58" spans="4:8" ht="23.25" x14ac:dyDescent="0.35">
      <c r="D58" s="106"/>
      <c r="E58" s="106">
        <f>E57/10^7</f>
        <v>3.0066980798</v>
      </c>
      <c r="F58" s="106">
        <f t="shared" ref="F58:H58" si="12">F57/10^7</f>
        <v>0.57864017499999998</v>
      </c>
      <c r="G58" s="106">
        <f t="shared" si="12"/>
        <v>0.93814443800000014</v>
      </c>
      <c r="H58" s="106">
        <f t="shared" si="12"/>
        <v>8.7524122379999998</v>
      </c>
    </row>
    <row r="59" spans="4:8" ht="23.25" x14ac:dyDescent="0.35">
      <c r="D59" s="106"/>
      <c r="E59" s="106"/>
    </row>
    <row r="60" spans="4:8" ht="23.25" x14ac:dyDescent="0.35">
      <c r="D60" s="106"/>
      <c r="E60" s="106"/>
    </row>
    <row r="61" spans="4:8" ht="23.25" x14ac:dyDescent="0.35">
      <c r="D61" s="106"/>
      <c r="E61" s="106"/>
    </row>
    <row r="62" spans="4:8" ht="23.25" x14ac:dyDescent="0.35">
      <c r="D62" s="106"/>
      <c r="E62" s="106"/>
    </row>
    <row r="63" spans="4:8" ht="23.25" x14ac:dyDescent="0.35">
      <c r="D63" s="106"/>
      <c r="E63" s="106"/>
    </row>
    <row r="64" spans="4:8" ht="23.25" x14ac:dyDescent="0.35">
      <c r="D64" s="106"/>
      <c r="E64" s="106"/>
    </row>
    <row r="66" spans="4:4" ht="23.25" x14ac:dyDescent="0.35">
      <c r="D66" s="106">
        <v>0.64</v>
      </c>
    </row>
    <row r="67" spans="4:4" ht="23.25" x14ac:dyDescent="0.35">
      <c r="D67" s="106">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zoomScale="60" zoomScaleNormal="60" workbookViewId="0">
      <selection activeCell="G17" sqref="G17"/>
    </sheetView>
  </sheetViews>
  <sheetFormatPr defaultColWidth="9.140625" defaultRowHeight="12.75" x14ac:dyDescent="0.2"/>
  <cols>
    <col min="1" max="1" width="8" style="54" customWidth="1"/>
    <col min="2" max="2" width="77.5703125" style="54" customWidth="1"/>
    <col min="3" max="3" width="17" style="54" customWidth="1"/>
    <col min="4" max="4" width="24.42578125" style="54" customWidth="1"/>
    <col min="5" max="5" width="25.5703125" style="54" customWidth="1"/>
    <col min="6" max="6" width="23.85546875" style="54" customWidth="1"/>
    <col min="7" max="7" width="25.85546875" style="54" customWidth="1"/>
    <col min="8" max="8" width="19.42578125" style="54" customWidth="1"/>
    <col min="9" max="9" width="20.42578125" style="54" customWidth="1"/>
    <col min="10" max="12" width="9.140625" style="54"/>
    <col min="13" max="13" width="15.85546875" style="54" bestFit="1" customWidth="1"/>
    <col min="14" max="14" width="24.7109375" style="54" bestFit="1" customWidth="1"/>
    <col min="15" max="16384" width="9.140625" style="54"/>
  </cols>
  <sheetData>
    <row r="2" spans="1:13" ht="33" x14ac:dyDescent="0.2">
      <c r="I2" s="55" t="s">
        <v>225</v>
      </c>
    </row>
    <row r="5" spans="1:13" ht="30" x14ac:dyDescent="0.45">
      <c r="A5" s="341" t="s">
        <v>0</v>
      </c>
      <c r="B5" s="341"/>
      <c r="C5" s="341"/>
      <c r="D5" s="341"/>
      <c r="E5" s="341"/>
      <c r="F5" s="341"/>
      <c r="G5" s="341"/>
      <c r="H5" s="341"/>
      <c r="I5" s="341"/>
    </row>
    <row r="7" spans="1:13" ht="27.75" x14ac:dyDescent="0.2">
      <c r="A7" s="352" t="s">
        <v>20</v>
      </c>
      <c r="B7" s="352"/>
      <c r="C7" s="352"/>
      <c r="D7" s="352"/>
      <c r="E7" s="352"/>
      <c r="F7" s="352"/>
      <c r="G7" s="352"/>
      <c r="H7" s="352"/>
      <c r="I7" s="352"/>
    </row>
    <row r="9" spans="1:13" ht="27.75" x14ac:dyDescent="0.2">
      <c r="A9" s="352" t="s">
        <v>24</v>
      </c>
      <c r="B9" s="352"/>
      <c r="C9" s="352"/>
      <c r="D9" s="352"/>
      <c r="E9" s="352"/>
      <c r="F9" s="352"/>
      <c r="G9" s="352"/>
      <c r="H9" s="352"/>
      <c r="I9" s="352"/>
    </row>
    <row r="10" spans="1:13" ht="13.5" thickBot="1" x14ac:dyDescent="0.25"/>
    <row r="11" spans="1:13" ht="21.6" customHeight="1" x14ac:dyDescent="0.2">
      <c r="A11" s="56"/>
      <c r="B11" s="57"/>
      <c r="C11" s="57"/>
      <c r="D11" s="355" t="s">
        <v>16</v>
      </c>
      <c r="E11" s="355"/>
      <c r="F11" s="355" t="s">
        <v>66</v>
      </c>
      <c r="G11" s="355"/>
      <c r="H11" s="355" t="s">
        <v>17</v>
      </c>
      <c r="I11" s="356"/>
    </row>
    <row r="12" spans="1:13" ht="21.6" customHeight="1" x14ac:dyDescent="0.2">
      <c r="A12" s="58"/>
      <c r="B12" s="50"/>
      <c r="C12" s="50"/>
      <c r="D12" s="50" t="s">
        <v>14</v>
      </c>
      <c r="E12" s="50" t="s">
        <v>15</v>
      </c>
      <c r="F12" s="50" t="s">
        <v>14</v>
      </c>
      <c r="G12" s="50" t="s">
        <v>15</v>
      </c>
      <c r="H12" s="357" t="s">
        <v>14</v>
      </c>
      <c r="I12" s="358" t="s">
        <v>15</v>
      </c>
    </row>
    <row r="13" spans="1:13" ht="21.6" customHeight="1" x14ac:dyDescent="0.2">
      <c r="A13" s="58" t="s">
        <v>38</v>
      </c>
      <c r="B13" s="50" t="s">
        <v>100</v>
      </c>
      <c r="C13" s="50"/>
      <c r="D13" s="333" t="str">
        <f>+'SHEET-3'!D14:E14</f>
        <v>Oct-2022 to December-2022</v>
      </c>
      <c r="E13" s="333"/>
      <c r="F13" s="333" t="str">
        <f>+'SHEET-3'!F14:G14</f>
        <v>Oct-2021 to December-2021</v>
      </c>
      <c r="G13" s="333"/>
      <c r="H13" s="357"/>
      <c r="I13" s="358"/>
    </row>
    <row r="14" spans="1:13" ht="21.6" customHeight="1" x14ac:dyDescent="0.2">
      <c r="A14" s="60">
        <v>1</v>
      </c>
      <c r="B14" s="61" t="s">
        <v>4</v>
      </c>
      <c r="C14" s="62" t="s">
        <v>81</v>
      </c>
      <c r="D14" s="217">
        <v>2802</v>
      </c>
      <c r="E14" s="217">
        <f>D14</f>
        <v>2802</v>
      </c>
      <c r="F14" s="217">
        <f>2518+107</f>
        <v>2625</v>
      </c>
      <c r="G14" s="217">
        <f>F14</f>
        <v>2625</v>
      </c>
      <c r="H14" s="149">
        <f>(D14-F14)/F14</f>
        <v>6.7428571428571435E-2</v>
      </c>
      <c r="I14" s="150">
        <f>(E14-G14)/G14</f>
        <v>6.7428571428571435E-2</v>
      </c>
      <c r="M14" s="54">
        <v>2760</v>
      </c>
    </row>
    <row r="15" spans="1:13" ht="21.6" customHeight="1" x14ac:dyDescent="0.2">
      <c r="A15" s="60">
        <v>2</v>
      </c>
      <c r="B15" s="61" t="s">
        <v>101</v>
      </c>
      <c r="C15" s="62" t="s">
        <v>81</v>
      </c>
      <c r="D15" s="217">
        <v>0</v>
      </c>
      <c r="E15" s="217">
        <f t="shared" ref="E15:E16" si="0">D15</f>
        <v>0</v>
      </c>
      <c r="F15" s="217">
        <v>0</v>
      </c>
      <c r="G15" s="217">
        <f t="shared" ref="G15:G16" si="1">F15</f>
        <v>0</v>
      </c>
      <c r="H15" s="186" t="e">
        <f t="shared" ref="H15:H25" si="2">(D15-F15)/F15</f>
        <v>#DIV/0!</v>
      </c>
      <c r="I15" s="187" t="e">
        <f t="shared" ref="I15:I25" si="3">(E15-G15)/G15</f>
        <v>#DIV/0!</v>
      </c>
    </row>
    <row r="16" spans="1:13" ht="21.6" customHeight="1" x14ac:dyDescent="0.2">
      <c r="A16" s="60">
        <v>3</v>
      </c>
      <c r="B16" s="61" t="s">
        <v>7</v>
      </c>
      <c r="C16" s="62" t="s">
        <v>81</v>
      </c>
      <c r="D16" s="217">
        <v>0</v>
      </c>
      <c r="E16" s="217">
        <f t="shared" si="0"/>
        <v>0</v>
      </c>
      <c r="F16" s="217">
        <v>0</v>
      </c>
      <c r="G16" s="217">
        <f t="shared" si="1"/>
        <v>0</v>
      </c>
      <c r="H16" s="149">
        <v>0</v>
      </c>
      <c r="I16" s="150">
        <v>0</v>
      </c>
    </row>
    <row r="17" spans="1:14" ht="24" customHeight="1" x14ac:dyDescent="0.2">
      <c r="A17" s="60">
        <v>4</v>
      </c>
      <c r="B17" s="61" t="s">
        <v>8</v>
      </c>
      <c r="C17" s="62" t="s">
        <v>81</v>
      </c>
      <c r="D17" s="217">
        <f>SUM(D14:D16)</f>
        <v>2802</v>
      </c>
      <c r="E17" s="217">
        <f>SUM(E14:E16)</f>
        <v>2802</v>
      </c>
      <c r="F17" s="217">
        <f>SUM(F14:F16)</f>
        <v>2625</v>
      </c>
      <c r="G17" s="217">
        <f>SUM(G14:G16)</f>
        <v>2625</v>
      </c>
      <c r="H17" s="149">
        <f t="shared" si="2"/>
        <v>6.7428571428571435E-2</v>
      </c>
      <c r="I17" s="150">
        <f t="shared" si="3"/>
        <v>6.7428571428571435E-2</v>
      </c>
    </row>
    <row r="18" spans="1:14" ht="21.6" customHeight="1" x14ac:dyDescent="0.2">
      <c r="A18" s="60">
        <v>5</v>
      </c>
      <c r="B18" s="61" t="s">
        <v>2</v>
      </c>
      <c r="C18" s="62" t="s">
        <v>81</v>
      </c>
      <c r="D18" s="217">
        <v>2834466</v>
      </c>
      <c r="E18" s="217">
        <f>D18</f>
        <v>2834466</v>
      </c>
      <c r="F18" s="217">
        <v>2789524</v>
      </c>
      <c r="G18" s="217">
        <f>F18</f>
        <v>2789524</v>
      </c>
      <c r="H18" s="149">
        <f t="shared" si="2"/>
        <v>1.6110992413042511E-2</v>
      </c>
      <c r="I18" s="150">
        <f t="shared" si="3"/>
        <v>1.6110992413042511E-2</v>
      </c>
      <c r="M18" s="54">
        <v>2834466</v>
      </c>
    </row>
    <row r="19" spans="1:14" ht="21.6" customHeight="1" x14ac:dyDescent="0.35">
      <c r="A19" s="60">
        <v>6</v>
      </c>
      <c r="B19" s="61" t="s">
        <v>3</v>
      </c>
      <c r="C19" s="62" t="s">
        <v>81</v>
      </c>
      <c r="D19" s="350">
        <f>34940+365368</f>
        <v>400308</v>
      </c>
      <c r="E19" s="350">
        <f>D19</f>
        <v>400308</v>
      </c>
      <c r="F19" s="350">
        <v>388424</v>
      </c>
      <c r="G19" s="350">
        <f>F19</f>
        <v>388424</v>
      </c>
      <c r="H19" s="353">
        <f t="shared" si="2"/>
        <v>3.0595431796181492E-2</v>
      </c>
      <c r="I19" s="342">
        <f t="shared" si="3"/>
        <v>3.0595431796181492E-2</v>
      </c>
      <c r="M19" s="63">
        <v>34940</v>
      </c>
      <c r="N19" s="64"/>
    </row>
    <row r="20" spans="1:14" ht="21.6" customHeight="1" x14ac:dyDescent="0.35">
      <c r="A20" s="60">
        <v>7</v>
      </c>
      <c r="B20" s="61" t="s">
        <v>1</v>
      </c>
      <c r="C20" s="62" t="s">
        <v>81</v>
      </c>
      <c r="D20" s="351"/>
      <c r="E20" s="351"/>
      <c r="F20" s="351"/>
      <c r="G20" s="351"/>
      <c r="H20" s="354"/>
      <c r="I20" s="343"/>
      <c r="M20" s="63">
        <v>365368</v>
      </c>
      <c r="N20" s="64"/>
    </row>
    <row r="21" spans="1:14" ht="21.6" customHeight="1" x14ac:dyDescent="0.35">
      <c r="A21" s="60">
        <v>8</v>
      </c>
      <c r="B21" s="61" t="s">
        <v>119</v>
      </c>
      <c r="C21" s="62" t="s">
        <v>81</v>
      </c>
      <c r="D21" s="217">
        <v>28481</v>
      </c>
      <c r="E21" s="217">
        <f>D21</f>
        <v>28481</v>
      </c>
      <c r="F21" s="217">
        <v>25913</v>
      </c>
      <c r="G21" s="217">
        <f>F21</f>
        <v>25913</v>
      </c>
      <c r="H21" s="149">
        <f t="shared" si="2"/>
        <v>9.9100837417512452E-2</v>
      </c>
      <c r="I21" s="150">
        <f t="shared" si="3"/>
        <v>9.9100837417512452E-2</v>
      </c>
      <c r="M21" s="63">
        <v>28481</v>
      </c>
      <c r="N21" s="64"/>
    </row>
    <row r="22" spans="1:14" ht="24" customHeight="1" x14ac:dyDescent="0.2">
      <c r="A22" s="60">
        <v>9</v>
      </c>
      <c r="B22" s="61" t="s">
        <v>10</v>
      </c>
      <c r="C22" s="62" t="s">
        <v>81</v>
      </c>
      <c r="D22" s="217">
        <f>+SUM(D18:D21)</f>
        <v>3263255</v>
      </c>
      <c r="E22" s="217">
        <f t="shared" ref="E22:E25" si="4">D22</f>
        <v>3263255</v>
      </c>
      <c r="F22" s="217">
        <f>+SUM(F18:F21)</f>
        <v>3203861</v>
      </c>
      <c r="G22" s="217">
        <f t="shared" ref="G22" si="5">F22</f>
        <v>3203861</v>
      </c>
      <c r="H22" s="149">
        <f t="shared" si="2"/>
        <v>1.8538257433765071E-2</v>
      </c>
      <c r="I22" s="150">
        <f t="shared" si="3"/>
        <v>1.8538257433765071E-2</v>
      </c>
      <c r="M22" s="54">
        <f>SUM(M18:M21)</f>
        <v>3263255</v>
      </c>
    </row>
    <row r="23" spans="1:14" ht="21.6" customHeight="1" x14ac:dyDescent="0.35">
      <c r="A23" s="60">
        <v>10</v>
      </c>
      <c r="B23" s="61" t="s">
        <v>5</v>
      </c>
      <c r="C23" s="62" t="s">
        <v>81</v>
      </c>
      <c r="D23" s="217">
        <v>207452</v>
      </c>
      <c r="E23" s="217">
        <f>D23</f>
        <v>207452</v>
      </c>
      <c r="F23" s="217">
        <f>198237+10</f>
        <v>198247</v>
      </c>
      <c r="G23" s="217">
        <f>F23</f>
        <v>198247</v>
      </c>
      <c r="H23" s="149">
        <f t="shared" si="2"/>
        <v>4.6431976272024292E-2</v>
      </c>
      <c r="I23" s="150">
        <f t="shared" si="3"/>
        <v>4.6431976272024292E-2</v>
      </c>
      <c r="M23" s="63">
        <v>207442</v>
      </c>
      <c r="N23" s="64"/>
    </row>
    <row r="24" spans="1:14" ht="24" customHeight="1" x14ac:dyDescent="0.35">
      <c r="A24" s="60">
        <v>11</v>
      </c>
      <c r="B24" s="61" t="s">
        <v>11</v>
      </c>
      <c r="C24" s="62" t="s">
        <v>81</v>
      </c>
      <c r="D24" s="217">
        <f>+D22+D23</f>
        <v>3470707</v>
      </c>
      <c r="E24" s="217">
        <f t="shared" si="4"/>
        <v>3470707</v>
      </c>
      <c r="F24" s="217">
        <f>+F22+F23</f>
        <v>3402108</v>
      </c>
      <c r="G24" s="217">
        <f t="shared" ref="G24:G25" si="6">F24</f>
        <v>3402108</v>
      </c>
      <c r="H24" s="149">
        <f t="shared" si="2"/>
        <v>2.0163674992093136E-2</v>
      </c>
      <c r="I24" s="150">
        <f t="shared" si="3"/>
        <v>2.0163674992093136E-2</v>
      </c>
      <c r="M24" s="63">
        <f>SUM(M23)</f>
        <v>207442</v>
      </c>
      <c r="N24" s="64"/>
    </row>
    <row r="25" spans="1:14" ht="31.5" customHeight="1" thickBot="1" x14ac:dyDescent="0.4">
      <c r="A25" s="65">
        <v>12</v>
      </c>
      <c r="B25" s="66" t="s">
        <v>104</v>
      </c>
      <c r="C25" s="67" t="s">
        <v>81</v>
      </c>
      <c r="D25" s="225">
        <f>+D17+D24</f>
        <v>3473509</v>
      </c>
      <c r="E25" s="225">
        <f t="shared" si="4"/>
        <v>3473509</v>
      </c>
      <c r="F25" s="236">
        <f>+F17+F24</f>
        <v>3404733</v>
      </c>
      <c r="G25" s="236">
        <f t="shared" si="6"/>
        <v>3404733</v>
      </c>
      <c r="H25" s="151">
        <f t="shared" si="2"/>
        <v>2.0200115545036864E-2</v>
      </c>
      <c r="I25" s="152">
        <f t="shared" si="3"/>
        <v>2.0200115545036864E-2</v>
      </c>
      <c r="M25" s="63">
        <f>+M22+M24+M14</f>
        <v>3473457</v>
      </c>
      <c r="N25" s="64"/>
    </row>
    <row r="26" spans="1:14" ht="12" customHeight="1" x14ac:dyDescent="0.3">
      <c r="A26" s="108"/>
      <c r="B26" s="109"/>
      <c r="C26" s="110"/>
      <c r="D26" s="111"/>
      <c r="E26" s="111"/>
      <c r="F26" s="237"/>
      <c r="G26" s="237"/>
      <c r="H26" s="147"/>
      <c r="I26" s="148"/>
    </row>
    <row r="27" spans="1:14" ht="28.5" customHeight="1" x14ac:dyDescent="0.3">
      <c r="A27" s="112" t="s">
        <v>6</v>
      </c>
      <c r="B27" s="107" t="s">
        <v>44</v>
      </c>
      <c r="C27" s="110"/>
      <c r="D27" s="111"/>
      <c r="E27" s="111"/>
      <c r="F27" s="237"/>
      <c r="G27" s="237"/>
      <c r="H27" s="147"/>
      <c r="I27" s="148"/>
    </row>
    <row r="28" spans="1:14" ht="12" customHeight="1" thickBot="1" x14ac:dyDescent="0.35">
      <c r="A28" s="108"/>
      <c r="B28" s="109"/>
      <c r="C28" s="110"/>
      <c r="D28" s="111"/>
      <c r="E28" s="111"/>
      <c r="F28" s="237"/>
      <c r="G28" s="237"/>
      <c r="H28" s="147"/>
      <c r="I28" s="148"/>
    </row>
    <row r="29" spans="1:14" ht="21.6" customHeight="1" x14ac:dyDescent="0.2">
      <c r="A29" s="72">
        <v>1</v>
      </c>
      <c r="B29" s="73" t="s">
        <v>4</v>
      </c>
      <c r="C29" s="113" t="s">
        <v>23</v>
      </c>
      <c r="D29" s="177">
        <f>+E29-M29</f>
        <v>1431.4570000000003</v>
      </c>
      <c r="E29" s="52">
        <v>4187.2650000000003</v>
      </c>
      <c r="F29" s="238">
        <v>1411.998</v>
      </c>
      <c r="G29" s="238">
        <v>3817.3679999999999</v>
      </c>
      <c r="H29" s="175">
        <f>(D29-F29)/F29</f>
        <v>1.3781180993174415E-2</v>
      </c>
      <c r="I29" s="176">
        <f>(E29-G29)/G29</f>
        <v>9.6898438924410843E-2</v>
      </c>
      <c r="M29" s="54">
        <v>2755.808</v>
      </c>
    </row>
    <row r="30" spans="1:14" ht="21.6" customHeight="1" x14ac:dyDescent="0.2">
      <c r="A30" s="60">
        <v>2</v>
      </c>
      <c r="B30" s="61" t="s">
        <v>101</v>
      </c>
      <c r="C30" s="62" t="s">
        <v>23</v>
      </c>
      <c r="D30" s="178">
        <v>0</v>
      </c>
      <c r="E30" s="161">
        <f>+D30</f>
        <v>0</v>
      </c>
      <c r="F30" s="239">
        <v>0</v>
      </c>
      <c r="G30" s="239">
        <f>+F30</f>
        <v>0</v>
      </c>
      <c r="H30" s="186" t="e">
        <f t="shared" ref="H30:H40" si="7">(D30-F30)/F30</f>
        <v>#DIV/0!</v>
      </c>
      <c r="I30" s="187" t="e">
        <f t="shared" ref="I30:I40" si="8">(E30-G30)/G30</f>
        <v>#DIV/0!</v>
      </c>
      <c r="M30" s="54">
        <v>0</v>
      </c>
    </row>
    <row r="31" spans="1:14" ht="21.6" customHeight="1" x14ac:dyDescent="0.2">
      <c r="A31" s="60">
        <v>3</v>
      </c>
      <c r="B31" s="61" t="s">
        <v>7</v>
      </c>
      <c r="C31" s="62" t="s">
        <v>23</v>
      </c>
      <c r="D31" s="178">
        <v>0</v>
      </c>
      <c r="E31" s="161">
        <v>0</v>
      </c>
      <c r="F31" s="239">
        <v>0</v>
      </c>
      <c r="G31" s="239">
        <v>0</v>
      </c>
      <c r="H31" s="149">
        <v>0</v>
      </c>
      <c r="I31" s="150">
        <v>0</v>
      </c>
      <c r="M31" s="54">
        <v>0</v>
      </c>
    </row>
    <row r="32" spans="1:14" ht="24" customHeight="1" thickBot="1" x14ac:dyDescent="0.4">
      <c r="A32" s="60">
        <v>4</v>
      </c>
      <c r="B32" s="61" t="s">
        <v>8</v>
      </c>
      <c r="C32" s="62" t="s">
        <v>23</v>
      </c>
      <c r="D32" s="178">
        <f>D29+D30</f>
        <v>1431.4570000000003</v>
      </c>
      <c r="E32" s="161">
        <f>E29+E30</f>
        <v>4187.2650000000003</v>
      </c>
      <c r="F32" s="239">
        <f>F29+F30</f>
        <v>1411.998</v>
      </c>
      <c r="G32" s="239">
        <f>G29+G30</f>
        <v>3817.3679999999999</v>
      </c>
      <c r="H32" s="149">
        <f t="shared" si="7"/>
        <v>1.3781180993174415E-2</v>
      </c>
      <c r="I32" s="150">
        <f t="shared" si="8"/>
        <v>9.6898438924410843E-2</v>
      </c>
      <c r="M32" s="63">
        <v>2755.808</v>
      </c>
      <c r="N32" s="64"/>
    </row>
    <row r="33" spans="1:14" ht="21.6" customHeight="1" x14ac:dyDescent="0.35">
      <c r="A33" s="60">
        <v>5</v>
      </c>
      <c r="B33" s="61" t="s">
        <v>2</v>
      </c>
      <c r="C33" s="62" t="s">
        <v>23</v>
      </c>
      <c r="D33" s="177">
        <f>+E33-M33</f>
        <v>607.10200000000009</v>
      </c>
      <c r="E33" s="161">
        <v>2403.11</v>
      </c>
      <c r="F33" s="239">
        <f>+G33-1720.362</f>
        <v>537.1869999999999</v>
      </c>
      <c r="G33" s="239">
        <v>2257.549</v>
      </c>
      <c r="H33" s="149">
        <f t="shared" si="7"/>
        <v>0.13015020840042704</v>
      </c>
      <c r="I33" s="150">
        <f t="shared" si="8"/>
        <v>6.4477448772983517E-2</v>
      </c>
      <c r="M33" s="63">
        <v>1796.008</v>
      </c>
      <c r="N33" s="64"/>
    </row>
    <row r="34" spans="1:14" ht="21.6" customHeight="1" x14ac:dyDescent="0.35">
      <c r="A34" s="60">
        <v>6</v>
      </c>
      <c r="B34" s="61" t="s">
        <v>3</v>
      </c>
      <c r="C34" s="62" t="s">
        <v>23</v>
      </c>
      <c r="D34" s="344">
        <f>+E34-M34</f>
        <v>465.83100000000013</v>
      </c>
      <c r="E34" s="319">
        <v>1544.364</v>
      </c>
      <c r="F34" s="348">
        <f>+G34-952.796</f>
        <v>425.61300000000006</v>
      </c>
      <c r="G34" s="348">
        <v>1378.4090000000001</v>
      </c>
      <c r="H34" s="346">
        <f t="shared" si="7"/>
        <v>9.4494294112257071E-2</v>
      </c>
      <c r="I34" s="342">
        <f t="shared" si="8"/>
        <v>0.12039605080930255</v>
      </c>
      <c r="M34" s="63">
        <v>1078.5329999999999</v>
      </c>
      <c r="N34" s="64"/>
    </row>
    <row r="35" spans="1:14" ht="21.6" customHeight="1" thickBot="1" x14ac:dyDescent="0.25">
      <c r="A35" s="60">
        <v>7</v>
      </c>
      <c r="B35" s="61" t="s">
        <v>1</v>
      </c>
      <c r="C35" s="62" t="s">
        <v>23</v>
      </c>
      <c r="D35" s="345"/>
      <c r="E35" s="320"/>
      <c r="F35" s="349"/>
      <c r="G35" s="349"/>
      <c r="H35" s="347"/>
      <c r="I35" s="343"/>
    </row>
    <row r="36" spans="1:14" ht="21.6" customHeight="1" x14ac:dyDescent="0.2">
      <c r="A36" s="60">
        <v>8</v>
      </c>
      <c r="B36" s="61" t="s">
        <v>119</v>
      </c>
      <c r="C36" s="62" t="s">
        <v>23</v>
      </c>
      <c r="D36" s="177">
        <f>+E36-M36</f>
        <v>110.517</v>
      </c>
      <c r="E36" s="161">
        <v>310.779</v>
      </c>
      <c r="F36" s="239">
        <f>+G36-190.059</f>
        <v>92.729000000000013</v>
      </c>
      <c r="G36" s="239">
        <v>282.78800000000001</v>
      </c>
      <c r="H36" s="149">
        <f t="shared" si="7"/>
        <v>0.1918277992860915</v>
      </c>
      <c r="I36" s="150">
        <f t="shared" si="8"/>
        <v>9.8982276475663697E-2</v>
      </c>
      <c r="M36" s="54">
        <v>200.262</v>
      </c>
    </row>
    <row r="37" spans="1:14" ht="24" customHeight="1" thickBot="1" x14ac:dyDescent="0.4">
      <c r="A37" s="60">
        <v>9</v>
      </c>
      <c r="B37" s="61" t="s">
        <v>10</v>
      </c>
      <c r="C37" s="62" t="s">
        <v>23</v>
      </c>
      <c r="D37" s="178">
        <f>SUM(D33:D36)</f>
        <v>1183.4500000000003</v>
      </c>
      <c r="E37" s="161">
        <f>SUM(E33:E36)</f>
        <v>4258.2530000000006</v>
      </c>
      <c r="F37" s="239">
        <f>SUM(F33:F36)</f>
        <v>1055.529</v>
      </c>
      <c r="G37" s="239">
        <f>SUM(G33:G36)</f>
        <v>3918.7460000000001</v>
      </c>
      <c r="H37" s="149">
        <f t="shared" si="7"/>
        <v>0.12119136470907031</v>
      </c>
      <c r="I37" s="150">
        <f t="shared" si="8"/>
        <v>8.6636643456861076E-2</v>
      </c>
      <c r="M37" s="63">
        <v>3074.8030000000003</v>
      </c>
      <c r="N37" s="64"/>
    </row>
    <row r="38" spans="1:14" ht="21.6" customHeight="1" x14ac:dyDescent="0.35">
      <c r="A38" s="60">
        <v>10</v>
      </c>
      <c r="B38" s="61" t="s">
        <v>102</v>
      </c>
      <c r="C38" s="62" t="s">
        <v>23</v>
      </c>
      <c r="D38" s="177">
        <f>+E38-M38</f>
        <v>527.596</v>
      </c>
      <c r="E38" s="161">
        <v>1286.441</v>
      </c>
      <c r="F38" s="239">
        <f>+G38-527.077</f>
        <v>326.83000000000004</v>
      </c>
      <c r="G38" s="239">
        <v>853.90700000000004</v>
      </c>
      <c r="H38" s="149">
        <f t="shared" si="7"/>
        <v>0.61428265459107168</v>
      </c>
      <c r="I38" s="150">
        <f t="shared" si="8"/>
        <v>0.50653525501020602</v>
      </c>
      <c r="M38" s="63">
        <v>758.84500000000003</v>
      </c>
      <c r="N38" s="64"/>
    </row>
    <row r="39" spans="1:14" ht="24" customHeight="1" x14ac:dyDescent="0.35">
      <c r="A39" s="60">
        <v>11</v>
      </c>
      <c r="B39" s="61" t="s">
        <v>11</v>
      </c>
      <c r="C39" s="62" t="s">
        <v>23</v>
      </c>
      <c r="D39" s="178">
        <f>SUM(D37:D38)</f>
        <v>1711.0460000000003</v>
      </c>
      <c r="E39" s="161">
        <f>SUM(E37:E38)</f>
        <v>5544.6940000000004</v>
      </c>
      <c r="F39" s="239">
        <f>SUM(F37:F38)</f>
        <v>1382.3589999999999</v>
      </c>
      <c r="G39" s="239">
        <f>SUM(G37:G38)</f>
        <v>4772.6530000000002</v>
      </c>
      <c r="H39" s="149">
        <f t="shared" si="7"/>
        <v>0.23777253231613521</v>
      </c>
      <c r="I39" s="150">
        <f t="shared" si="8"/>
        <v>0.16176348877657776</v>
      </c>
      <c r="M39" s="63">
        <v>3833.6480000000001</v>
      </c>
      <c r="N39" s="64"/>
    </row>
    <row r="40" spans="1:14" ht="31.5" customHeight="1" thickBot="1" x14ac:dyDescent="0.25">
      <c r="A40" s="65">
        <v>12</v>
      </c>
      <c r="B40" s="66" t="s">
        <v>12</v>
      </c>
      <c r="C40" s="67" t="s">
        <v>23</v>
      </c>
      <c r="D40" s="179">
        <f>D32+D39</f>
        <v>3142.5030000000006</v>
      </c>
      <c r="E40" s="53">
        <f>E32+E39</f>
        <v>9731.9590000000007</v>
      </c>
      <c r="F40" s="240">
        <f>F32+F39</f>
        <v>2794.357</v>
      </c>
      <c r="G40" s="240">
        <f>G32+G39</f>
        <v>8590.0210000000006</v>
      </c>
      <c r="H40" s="151">
        <f t="shared" si="7"/>
        <v>0.12458894836987566</v>
      </c>
      <c r="I40" s="152">
        <f t="shared" si="8"/>
        <v>0.13293774252705554</v>
      </c>
      <c r="M40" s="54">
        <v>6589.4560000000001</v>
      </c>
    </row>
    <row r="41" spans="1:14" x14ac:dyDescent="0.2">
      <c r="D41" s="129"/>
      <c r="E41" s="129"/>
      <c r="H41" s="129"/>
      <c r="I41" s="129"/>
    </row>
    <row r="43" spans="1:14" ht="12.75" customHeight="1" x14ac:dyDescent="0.2">
      <c r="A43" s="318"/>
      <c r="B43" s="318"/>
    </row>
    <row r="52" spans="4:6" ht="23.25" x14ac:dyDescent="0.35">
      <c r="D52" s="114">
        <v>1639.71</v>
      </c>
      <c r="E52" s="114">
        <v>5096.3599999999997</v>
      </c>
    </row>
    <row r="57" spans="4:6" ht="26.25" x14ac:dyDescent="0.4">
      <c r="D57" s="79">
        <v>335.74</v>
      </c>
      <c r="E57" s="79">
        <v>335.74</v>
      </c>
      <c r="F57" s="115">
        <f>D40-D52</f>
        <v>1502.7930000000006</v>
      </c>
    </row>
    <row r="58" spans="4:6" ht="26.25" x14ac:dyDescent="0.4">
      <c r="D58" s="79">
        <v>346.72</v>
      </c>
      <c r="E58" s="79">
        <v>346.72</v>
      </c>
      <c r="F58" s="115">
        <f>E40-E52</f>
        <v>4635.5990000000011</v>
      </c>
    </row>
    <row r="59" spans="4:6" ht="26.25" x14ac:dyDescent="0.4">
      <c r="D59" s="79">
        <f>SUM(D57:D58)</f>
        <v>682.46</v>
      </c>
      <c r="E59" s="79">
        <f>SUM(E57:E58)</f>
        <v>682.46</v>
      </c>
    </row>
    <row r="64" spans="4:6" ht="20.100000000000001" customHeight="1" x14ac:dyDescent="0.25">
      <c r="D64" s="116" t="s">
        <v>219</v>
      </c>
      <c r="E64" s="116" t="s">
        <v>220</v>
      </c>
    </row>
    <row r="65" spans="3:6" ht="20.100000000000001" customHeight="1" x14ac:dyDescent="0.25">
      <c r="C65" s="117" t="s">
        <v>221</v>
      </c>
      <c r="D65" s="118">
        <v>153.19999999999999</v>
      </c>
      <c r="E65" s="118">
        <v>171.66</v>
      </c>
      <c r="F65" s="119">
        <f>(D65-E65)/E65</f>
        <v>-0.1075381568216242</v>
      </c>
    </row>
    <row r="66" spans="3:6" ht="20.100000000000001" customHeight="1" x14ac:dyDescent="0.25">
      <c r="C66" s="117" t="s">
        <v>222</v>
      </c>
      <c r="D66" s="118">
        <v>136.37</v>
      </c>
      <c r="E66" s="118">
        <v>136.62</v>
      </c>
      <c r="F66" s="119">
        <f>(D66-E66)/E66</f>
        <v>-1.8298931342409603E-3</v>
      </c>
    </row>
    <row r="67" spans="3:6" ht="20.100000000000001" customHeight="1" x14ac:dyDescent="0.25">
      <c r="C67" s="117"/>
      <c r="D67" s="118">
        <f>SUM(D65:D66)</f>
        <v>289.57</v>
      </c>
      <c r="E67" s="118">
        <f>SUM(E65:E66)</f>
        <v>308.27999999999997</v>
      </c>
      <c r="F67" s="119">
        <f>(D67-E67)/E67</f>
        <v>-6.0691579083949593E-2</v>
      </c>
    </row>
    <row r="68" spans="3:6" ht="20.100000000000001" customHeight="1" x14ac:dyDescent="0.2"/>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0" zoomScale="69" zoomScaleNormal="50" zoomScaleSheetLayoutView="69" workbookViewId="0">
      <selection activeCell="G18" sqref="G18"/>
    </sheetView>
  </sheetViews>
  <sheetFormatPr defaultColWidth="9.140625" defaultRowHeight="12.75" x14ac:dyDescent="0.2"/>
  <cols>
    <col min="1" max="1" width="8" style="54" customWidth="1"/>
    <col min="2" max="2" width="80.140625" style="54" customWidth="1"/>
    <col min="3" max="3" width="23.28515625" style="54" customWidth="1"/>
    <col min="4" max="4" width="22.42578125" style="54" customWidth="1"/>
    <col min="5" max="5" width="23.28515625" style="54" customWidth="1"/>
    <col min="6" max="6" width="23.85546875" style="54" customWidth="1"/>
    <col min="7" max="7" width="23.42578125" style="54" customWidth="1"/>
    <col min="8" max="8" width="19.28515625" style="54" bestFit="1" customWidth="1"/>
    <col min="9" max="9" width="21" style="54" customWidth="1"/>
    <col min="10" max="10" width="12.5703125" style="54" bestFit="1" customWidth="1"/>
    <col min="11" max="11" width="17.85546875" style="54" bestFit="1" customWidth="1"/>
    <col min="12" max="12" width="14.7109375" style="54" bestFit="1" customWidth="1"/>
    <col min="13" max="13" width="9.140625" style="54"/>
    <col min="14" max="14" width="27.42578125" style="54" customWidth="1"/>
    <col min="15" max="15" width="24.5703125" style="54" customWidth="1"/>
    <col min="16" max="16" width="33.7109375" style="54" bestFit="1" customWidth="1"/>
    <col min="17" max="17" width="9.140625" style="54"/>
    <col min="18" max="18" width="33.42578125" style="54" customWidth="1"/>
    <col min="19" max="16384" width="9.140625" style="54"/>
  </cols>
  <sheetData>
    <row r="2" spans="1:13" ht="33" x14ac:dyDescent="0.2">
      <c r="I2" s="55" t="s">
        <v>22</v>
      </c>
    </row>
    <row r="5" spans="1:13" ht="30" x14ac:dyDescent="0.45">
      <c r="A5" s="341" t="s">
        <v>0</v>
      </c>
      <c r="B5" s="341"/>
      <c r="C5" s="341"/>
      <c r="D5" s="341"/>
      <c r="E5" s="341"/>
      <c r="F5" s="341"/>
      <c r="G5" s="341"/>
      <c r="H5" s="341"/>
      <c r="I5" s="341"/>
    </row>
    <row r="7" spans="1:13" ht="27.75" x14ac:dyDescent="0.3">
      <c r="A7" s="352" t="s">
        <v>20</v>
      </c>
      <c r="B7" s="352"/>
      <c r="C7" s="352"/>
      <c r="D7" s="352"/>
      <c r="E7" s="352"/>
      <c r="F7" s="352"/>
      <c r="G7" s="352"/>
      <c r="H7" s="352"/>
      <c r="I7" s="352"/>
      <c r="J7" s="209"/>
      <c r="K7" s="209"/>
      <c r="L7" s="208"/>
      <c r="M7" s="117"/>
    </row>
    <row r="9" spans="1:13" ht="27.75" x14ac:dyDescent="0.2">
      <c r="A9" s="352" t="s">
        <v>19</v>
      </c>
      <c r="B9" s="352"/>
      <c r="C9" s="352"/>
      <c r="D9" s="352"/>
      <c r="E9" s="352"/>
      <c r="F9" s="352"/>
      <c r="G9" s="352"/>
      <c r="H9" s="352"/>
      <c r="I9" s="352"/>
    </row>
    <row r="10" spans="1:13" ht="13.5" thickBot="1" x14ac:dyDescent="0.25"/>
    <row r="11" spans="1:13" ht="21.6" customHeight="1" x14ac:dyDescent="0.2">
      <c r="A11" s="56"/>
      <c r="B11" s="57"/>
      <c r="C11" s="57"/>
      <c r="D11" s="355" t="s">
        <v>16</v>
      </c>
      <c r="E11" s="355"/>
      <c r="F11" s="355" t="s">
        <v>83</v>
      </c>
      <c r="G11" s="355"/>
      <c r="H11" s="355" t="s">
        <v>17</v>
      </c>
      <c r="I11" s="356"/>
    </row>
    <row r="12" spans="1:13" ht="21.6" customHeight="1" x14ac:dyDescent="0.2">
      <c r="A12" s="58"/>
      <c r="B12" s="50"/>
      <c r="C12" s="50"/>
      <c r="D12" s="50" t="s">
        <v>14</v>
      </c>
      <c r="E12" s="50" t="s">
        <v>15</v>
      </c>
      <c r="F12" s="50" t="s">
        <v>14</v>
      </c>
      <c r="G12" s="50" t="s">
        <v>15</v>
      </c>
      <c r="H12" s="357" t="s">
        <v>14</v>
      </c>
      <c r="I12" s="358" t="s">
        <v>15</v>
      </c>
    </row>
    <row r="13" spans="1:13" ht="21.6" customHeight="1" x14ac:dyDescent="0.2">
      <c r="A13" s="58" t="s">
        <v>45</v>
      </c>
      <c r="B13" s="59" t="s">
        <v>121</v>
      </c>
      <c r="C13" s="50"/>
      <c r="D13" s="333" t="str">
        <f>+'SHEET-4'!D13:E13</f>
        <v>Oct-2022 to December-2022</v>
      </c>
      <c r="E13" s="333"/>
      <c r="F13" s="333" t="str">
        <f>+'SHEET-4'!F13:G13</f>
        <v>Oct-2021 to December-2021</v>
      </c>
      <c r="G13" s="333"/>
      <c r="H13" s="357"/>
      <c r="I13" s="358"/>
      <c r="K13" s="54" t="s">
        <v>239</v>
      </c>
    </row>
    <row r="14" spans="1:13" ht="21.6" customHeight="1" x14ac:dyDescent="0.2">
      <c r="A14" s="60">
        <v>1</v>
      </c>
      <c r="B14" s="61" t="s">
        <v>4</v>
      </c>
      <c r="C14" s="62" t="s">
        <v>13</v>
      </c>
      <c r="D14" s="161">
        <f>+E14-K14</f>
        <v>1202.25</v>
      </c>
      <c r="E14" s="161">
        <v>3360.88</v>
      </c>
      <c r="F14" s="218">
        <f>+G14-1600.37</f>
        <v>960.52</v>
      </c>
      <c r="G14" s="218">
        <v>2560.89</v>
      </c>
      <c r="H14" s="149">
        <f>(D14-F14)/F14</f>
        <v>0.25166576437762883</v>
      </c>
      <c r="I14" s="150">
        <f>(E14-G14)/G14</f>
        <v>0.31238749028658014</v>
      </c>
      <c r="K14" s="54">
        <v>2158.63</v>
      </c>
    </row>
    <row r="15" spans="1:13" ht="21.6" customHeight="1" x14ac:dyDescent="0.2">
      <c r="A15" s="60">
        <v>2</v>
      </c>
      <c r="B15" s="61" t="s">
        <v>82</v>
      </c>
      <c r="C15" s="62" t="s">
        <v>13</v>
      </c>
      <c r="D15" s="161">
        <v>0</v>
      </c>
      <c r="E15" s="161">
        <v>0</v>
      </c>
      <c r="F15" s="218">
        <v>0</v>
      </c>
      <c r="G15" s="218">
        <v>0</v>
      </c>
      <c r="H15" s="186" t="e">
        <f t="shared" ref="H15:I25" si="0">(D15-F15)/F15</f>
        <v>#DIV/0!</v>
      </c>
      <c r="I15" s="187" t="e">
        <f t="shared" si="0"/>
        <v>#DIV/0!</v>
      </c>
      <c r="K15" s="54">
        <v>0</v>
      </c>
    </row>
    <row r="16" spans="1:13" ht="21.6" customHeight="1" x14ac:dyDescent="0.2">
      <c r="A16" s="60">
        <v>3</v>
      </c>
      <c r="B16" s="61" t="s">
        <v>7</v>
      </c>
      <c r="C16" s="62" t="s">
        <v>13</v>
      </c>
      <c r="D16" s="161">
        <v>0</v>
      </c>
      <c r="E16" s="161">
        <v>0</v>
      </c>
      <c r="F16" s="218">
        <v>0</v>
      </c>
      <c r="G16" s="218">
        <v>0</v>
      </c>
      <c r="H16" s="149">
        <v>0</v>
      </c>
      <c r="I16" s="150">
        <v>0</v>
      </c>
      <c r="K16" s="54">
        <v>0</v>
      </c>
    </row>
    <row r="17" spans="1:18" ht="24" customHeight="1" x14ac:dyDescent="0.2">
      <c r="A17" s="60">
        <v>4</v>
      </c>
      <c r="B17" s="61" t="s">
        <v>8</v>
      </c>
      <c r="C17" s="62" t="s">
        <v>13</v>
      </c>
      <c r="D17" s="161">
        <f>SUM(D14:D16)</f>
        <v>1202.25</v>
      </c>
      <c r="E17" s="161">
        <f>SUM(E14:E16)</f>
        <v>3360.88</v>
      </c>
      <c r="F17" s="218">
        <f>SUM(F14:F16)</f>
        <v>960.52</v>
      </c>
      <c r="G17" s="218">
        <f>SUM(G14:G16)</f>
        <v>2560.89</v>
      </c>
      <c r="H17" s="149">
        <f t="shared" si="0"/>
        <v>0.25166576437762883</v>
      </c>
      <c r="I17" s="150">
        <f t="shared" si="0"/>
        <v>0.31238749028658014</v>
      </c>
      <c r="K17" s="54">
        <v>2158.63</v>
      </c>
    </row>
    <row r="18" spans="1:18" ht="21.6" customHeight="1" x14ac:dyDescent="0.35">
      <c r="A18" s="60">
        <v>5</v>
      </c>
      <c r="B18" s="61" t="s">
        <v>2</v>
      </c>
      <c r="C18" s="62" t="s">
        <v>13</v>
      </c>
      <c r="D18" s="223">
        <f>+E18-K18</f>
        <v>475.24000000000012</v>
      </c>
      <c r="E18" s="161">
        <v>1497.14</v>
      </c>
      <c r="F18" s="218">
        <f>+G18-959.77</f>
        <v>298.1400000000001</v>
      </c>
      <c r="G18" s="218">
        <v>1257.9100000000001</v>
      </c>
      <c r="H18" s="149">
        <f t="shared" si="0"/>
        <v>0.59401623398403425</v>
      </c>
      <c r="I18" s="150">
        <f t="shared" si="0"/>
        <v>0.19018053755833089</v>
      </c>
      <c r="K18" s="54">
        <v>1021.9</v>
      </c>
      <c r="O18" s="63"/>
      <c r="P18" s="64"/>
    </row>
    <row r="19" spans="1:18" ht="21.6" customHeight="1" x14ac:dyDescent="0.35">
      <c r="A19" s="60">
        <v>6</v>
      </c>
      <c r="B19" s="61" t="s">
        <v>3</v>
      </c>
      <c r="C19" s="62" t="s">
        <v>13</v>
      </c>
      <c r="D19" s="319">
        <f>+E19-K19</f>
        <v>358.9</v>
      </c>
      <c r="E19" s="319">
        <v>1225.25</v>
      </c>
      <c r="F19" s="311">
        <f>+G19-706.9</f>
        <v>318.65999999999997</v>
      </c>
      <c r="G19" s="311">
        <v>1025.56</v>
      </c>
      <c r="H19" s="353">
        <f t="shared" si="0"/>
        <v>0.1262787924433566</v>
      </c>
      <c r="I19" s="342">
        <f t="shared" si="0"/>
        <v>0.19471313233745471</v>
      </c>
      <c r="K19" s="54">
        <v>866.35</v>
      </c>
      <c r="O19" s="63"/>
      <c r="P19" s="64"/>
    </row>
    <row r="20" spans="1:18" ht="21.6" customHeight="1" x14ac:dyDescent="0.35">
      <c r="A20" s="60">
        <v>7</v>
      </c>
      <c r="B20" s="61" t="s">
        <v>1</v>
      </c>
      <c r="C20" s="62" t="s">
        <v>13</v>
      </c>
      <c r="D20" s="320"/>
      <c r="E20" s="320"/>
      <c r="F20" s="313"/>
      <c r="G20" s="313"/>
      <c r="H20" s="354"/>
      <c r="I20" s="343"/>
      <c r="O20" s="63"/>
      <c r="P20" s="64"/>
    </row>
    <row r="21" spans="1:18" ht="21.6" customHeight="1" x14ac:dyDescent="0.2">
      <c r="A21" s="60">
        <v>8</v>
      </c>
      <c r="B21" s="61" t="s">
        <v>119</v>
      </c>
      <c r="C21" s="62" t="s">
        <v>13</v>
      </c>
      <c r="D21" s="223">
        <f>+E21-K21</f>
        <v>85.670000000000016</v>
      </c>
      <c r="E21" s="161">
        <v>227.59</v>
      </c>
      <c r="F21" s="218">
        <f>+G21-122.67</f>
        <v>74.39</v>
      </c>
      <c r="G21" s="218">
        <v>197.06</v>
      </c>
      <c r="H21" s="149">
        <f t="shared" si="0"/>
        <v>0.15163328404355444</v>
      </c>
      <c r="I21" s="150">
        <f t="shared" si="0"/>
        <v>0.15492743326905511</v>
      </c>
      <c r="K21" s="54">
        <v>141.91999999999999</v>
      </c>
    </row>
    <row r="22" spans="1:18" ht="24" customHeight="1" x14ac:dyDescent="0.35">
      <c r="A22" s="60">
        <v>9</v>
      </c>
      <c r="B22" s="61" t="s">
        <v>10</v>
      </c>
      <c r="C22" s="62" t="s">
        <v>13</v>
      </c>
      <c r="D22" s="161">
        <f>SUM(D18:D21)</f>
        <v>919.81000000000017</v>
      </c>
      <c r="E22" s="161">
        <f>SUM(E18:E21)</f>
        <v>2949.9800000000005</v>
      </c>
      <c r="F22" s="218">
        <f>SUM(F18:F21)</f>
        <v>691.19</v>
      </c>
      <c r="G22" s="218">
        <f>SUM(G18:G21)</f>
        <v>2480.5300000000002</v>
      </c>
      <c r="H22" s="149">
        <f t="shared" si="0"/>
        <v>0.33076288719454866</v>
      </c>
      <c r="I22" s="150">
        <f t="shared" si="0"/>
        <v>0.18925390944677156</v>
      </c>
      <c r="K22" s="54">
        <v>2030.17</v>
      </c>
      <c r="O22" s="63"/>
      <c r="P22" s="64"/>
    </row>
    <row r="23" spans="1:18" ht="21.6" customHeight="1" x14ac:dyDescent="0.35">
      <c r="A23" s="60">
        <v>10</v>
      </c>
      <c r="B23" s="61" t="s">
        <v>108</v>
      </c>
      <c r="C23" s="62" t="s">
        <v>13</v>
      </c>
      <c r="D23" s="223">
        <f>+E23-K23</f>
        <v>258.43999999999994</v>
      </c>
      <c r="E23" s="161">
        <f>359.8+119.6</f>
        <v>479.4</v>
      </c>
      <c r="F23" s="218">
        <f>+G23-173</f>
        <v>207.86</v>
      </c>
      <c r="G23" s="218">
        <v>380.86</v>
      </c>
      <c r="H23" s="149">
        <f t="shared" si="0"/>
        <v>0.24333686134898452</v>
      </c>
      <c r="I23" s="150">
        <f t="shared" si="0"/>
        <v>0.25873024208370521</v>
      </c>
      <c r="K23" s="54">
        <v>220.96</v>
      </c>
      <c r="O23" s="63"/>
      <c r="P23" s="64"/>
    </row>
    <row r="24" spans="1:18" ht="24" customHeight="1" x14ac:dyDescent="0.35">
      <c r="A24" s="60">
        <v>11</v>
      </c>
      <c r="B24" s="61" t="s">
        <v>11</v>
      </c>
      <c r="C24" s="62" t="s">
        <v>13</v>
      </c>
      <c r="D24" s="161">
        <f>SUM(D22:D23)</f>
        <v>1178.25</v>
      </c>
      <c r="E24" s="198">
        <f>SUM(E22:E23)</f>
        <v>3429.3800000000006</v>
      </c>
      <c r="F24" s="218">
        <f>SUM(F22:F23)</f>
        <v>899.05000000000007</v>
      </c>
      <c r="G24" s="218">
        <f>SUM(G22:G23)</f>
        <v>2861.3900000000003</v>
      </c>
      <c r="H24" s="149">
        <f t="shared" si="0"/>
        <v>0.31055002502641665</v>
      </c>
      <c r="I24" s="150">
        <f t="shared" si="0"/>
        <v>0.1985014276278313</v>
      </c>
      <c r="K24" s="54">
        <v>2251.13</v>
      </c>
      <c r="O24" s="63"/>
      <c r="P24" s="64"/>
    </row>
    <row r="25" spans="1:18" ht="31.5" customHeight="1" thickBot="1" x14ac:dyDescent="0.25">
      <c r="A25" s="65">
        <v>12</v>
      </c>
      <c r="B25" s="66" t="s">
        <v>12</v>
      </c>
      <c r="C25" s="67" t="s">
        <v>13</v>
      </c>
      <c r="D25" s="53">
        <f>D17+D24</f>
        <v>2380.5</v>
      </c>
      <c r="E25" s="53">
        <f>E17+E24</f>
        <v>6790.26</v>
      </c>
      <c r="F25" s="241">
        <f>F17+F24</f>
        <v>1859.5700000000002</v>
      </c>
      <c r="G25" s="241">
        <f>G17+G24</f>
        <v>5422.2800000000007</v>
      </c>
      <c r="H25" s="151">
        <f t="shared" si="0"/>
        <v>0.2801346547857837</v>
      </c>
      <c r="I25" s="152">
        <f t="shared" si="0"/>
        <v>0.25228870512035517</v>
      </c>
      <c r="K25" s="211"/>
    </row>
    <row r="26" spans="1:18" ht="15" customHeight="1" x14ac:dyDescent="0.3">
      <c r="A26" s="51"/>
      <c r="B26" s="68"/>
      <c r="C26" s="69"/>
      <c r="D26" s="130"/>
      <c r="E26" s="215"/>
      <c r="F26" s="242"/>
      <c r="G26" s="242"/>
      <c r="H26" s="130"/>
      <c r="I26" s="130"/>
    </row>
    <row r="27" spans="1:18" ht="28.5" customHeight="1" x14ac:dyDescent="0.3">
      <c r="A27" s="70" t="s">
        <v>46</v>
      </c>
      <c r="B27" s="71" t="s">
        <v>18</v>
      </c>
      <c r="C27" s="69"/>
      <c r="D27" s="216"/>
      <c r="E27" s="216"/>
      <c r="F27" s="243"/>
      <c r="G27" s="243"/>
      <c r="H27" s="130"/>
      <c r="I27" s="130"/>
    </row>
    <row r="28" spans="1:18" ht="15" customHeight="1" thickBot="1" x14ac:dyDescent="0.35">
      <c r="A28" s="51"/>
      <c r="B28" s="68"/>
      <c r="C28" s="69"/>
      <c r="D28" s="51"/>
      <c r="E28" s="51"/>
      <c r="F28" s="243"/>
      <c r="G28" s="243"/>
      <c r="H28" s="130"/>
      <c r="I28" s="130"/>
    </row>
    <row r="29" spans="1:18" ht="21.6" customHeight="1" x14ac:dyDescent="0.4">
      <c r="A29" s="72">
        <v>1</v>
      </c>
      <c r="B29" s="73" t="s">
        <v>4</v>
      </c>
      <c r="C29" s="74" t="s">
        <v>21</v>
      </c>
      <c r="D29" s="180">
        <f>D14/'SHEET-4'!D29*1000</f>
        <v>839.87852935854846</v>
      </c>
      <c r="E29" s="52">
        <f>E14/'SHEET-4'!E29*1000</f>
        <v>802.64325281538186</v>
      </c>
      <c r="F29" s="244">
        <f>F14/'[7]SHEET-4'!F29*1000</f>
        <v>712.39655446067411</v>
      </c>
      <c r="G29" s="245">
        <f>G14/'[7]SHEET-4'!G29*1000</f>
        <v>670.85227308449169</v>
      </c>
      <c r="H29" s="175">
        <f>(D29-F29)/F29</f>
        <v>0.17894805091299981</v>
      </c>
      <c r="I29" s="176">
        <f>(E29-G29)/G29</f>
        <v>0.19645305683311223</v>
      </c>
      <c r="N29" s="75">
        <f>(D14/'SHEET-4'!D29)*1000</f>
        <v>839.87852935854846</v>
      </c>
      <c r="O29" s="75">
        <f>(E14/'SHEET-4'!E29)*1000</f>
        <v>802.64325281538186</v>
      </c>
      <c r="P29" s="75">
        <f>(F14/'SHEET-4'!F29)*1000</f>
        <v>680.25592104238103</v>
      </c>
      <c r="Q29" s="75">
        <f>(G14/'SHEET-4'!G29)*1000</f>
        <v>670.85227308449169</v>
      </c>
      <c r="R29" s="76"/>
    </row>
    <row r="30" spans="1:18" ht="21.6" customHeight="1" x14ac:dyDescent="0.4">
      <c r="A30" s="60">
        <v>2</v>
      </c>
      <c r="B30" s="61" t="s">
        <v>82</v>
      </c>
      <c r="C30" s="77" t="s">
        <v>21</v>
      </c>
      <c r="D30" s="143">
        <v>0</v>
      </c>
      <c r="E30" s="161">
        <v>0</v>
      </c>
      <c r="F30" s="246">
        <v>0</v>
      </c>
      <c r="G30" s="218">
        <v>0</v>
      </c>
      <c r="H30" s="186" t="e">
        <f t="shared" ref="H30:I40" si="1">(D30-F30)/F30</f>
        <v>#DIV/0!</v>
      </c>
      <c r="I30" s="187" t="e">
        <f t="shared" si="1"/>
        <v>#DIV/0!</v>
      </c>
      <c r="N30" s="75" t="e">
        <f>(D15/'SHEET-4'!D30)*1000</f>
        <v>#DIV/0!</v>
      </c>
      <c r="O30" s="75" t="e">
        <f>(E15/'SHEET-4'!E30)*1000</f>
        <v>#DIV/0!</v>
      </c>
      <c r="P30" s="75" t="e">
        <f>(F15/'SHEET-4'!F30)*1000</f>
        <v>#DIV/0!</v>
      </c>
      <c r="R30" s="76"/>
    </row>
    <row r="31" spans="1:18" ht="21.6" customHeight="1" x14ac:dyDescent="0.4">
      <c r="A31" s="60">
        <v>3</v>
      </c>
      <c r="B31" s="61" t="s">
        <v>7</v>
      </c>
      <c r="C31" s="77" t="s">
        <v>21</v>
      </c>
      <c r="D31" s="143">
        <v>0</v>
      </c>
      <c r="E31" s="161">
        <v>0</v>
      </c>
      <c r="F31" s="246">
        <v>0</v>
      </c>
      <c r="G31" s="218">
        <v>0</v>
      </c>
      <c r="H31" s="149">
        <v>0</v>
      </c>
      <c r="I31" s="150">
        <v>0</v>
      </c>
      <c r="N31" s="75" t="e">
        <f>(D16/'SHEET-4'!D31)*1000</f>
        <v>#DIV/0!</v>
      </c>
      <c r="O31" s="75" t="e">
        <f>(E16/'SHEET-4'!E31)*1000</f>
        <v>#DIV/0!</v>
      </c>
      <c r="P31" s="75" t="e">
        <f>(F16/'SHEET-4'!F31)*1000</f>
        <v>#DIV/0!</v>
      </c>
      <c r="R31" s="76"/>
    </row>
    <row r="32" spans="1:18" ht="24" customHeight="1" x14ac:dyDescent="0.4">
      <c r="A32" s="60">
        <v>4</v>
      </c>
      <c r="B32" s="61" t="s">
        <v>8</v>
      </c>
      <c r="C32" s="77" t="s">
        <v>21</v>
      </c>
      <c r="D32" s="143">
        <f>D17/'SHEET-4'!D32*1000</f>
        <v>839.87852935854846</v>
      </c>
      <c r="E32" s="143">
        <f>E17/'SHEET-4'!E32*1000</f>
        <v>802.64325281538186</v>
      </c>
      <c r="F32" s="246">
        <f>F17/'[7]SHEET-4'!F32*1000</f>
        <v>712.39655446067411</v>
      </c>
      <c r="G32" s="246">
        <f>G17/'[7]SHEET-4'!G32*1000</f>
        <v>670.85227308449169</v>
      </c>
      <c r="H32" s="149">
        <f t="shared" si="1"/>
        <v>0.17894805091299981</v>
      </c>
      <c r="I32" s="150">
        <f t="shared" si="1"/>
        <v>0.19645305683311223</v>
      </c>
      <c r="N32" s="75">
        <f>(D17/'SHEET-4'!D32)*1000</f>
        <v>839.87852935854846</v>
      </c>
      <c r="O32" s="75">
        <f>(E17/'SHEET-4'!E32)*1000</f>
        <v>802.64325281538186</v>
      </c>
      <c r="P32" s="75">
        <f>(F17/'SHEET-4'!F32)*1000</f>
        <v>680.25592104238103</v>
      </c>
      <c r="R32" s="76"/>
    </row>
    <row r="33" spans="1:18" ht="21.6" customHeight="1" x14ac:dyDescent="0.4">
      <c r="A33" s="60">
        <v>5</v>
      </c>
      <c r="B33" s="61" t="s">
        <v>2</v>
      </c>
      <c r="C33" s="77" t="s">
        <v>21</v>
      </c>
      <c r="D33" s="229">
        <f>D18/'SHEET-4'!D33*1000*0.8</f>
        <v>626.24073055269139</v>
      </c>
      <c r="E33" s="161">
        <f>E18/'SHEET-4'!E33*1000</f>
        <v>623.00102783476405</v>
      </c>
      <c r="F33" s="246">
        <f>F18/'[7]SHEET-4'!F33*1000</f>
        <v>555.00226178221021</v>
      </c>
      <c r="G33" s="218">
        <f>G18/'[7]SHEET-4'!G33*1000</f>
        <v>557.20163770531667</v>
      </c>
      <c r="H33" s="230">
        <f t="shared" si="1"/>
        <v>0.12835707829680168</v>
      </c>
      <c r="I33" s="150">
        <f t="shared" si="1"/>
        <v>0.1180890106504788</v>
      </c>
      <c r="N33" s="75">
        <f>(D18/'SHEET-4'!D33)*1000</f>
        <v>782.80091319086421</v>
      </c>
      <c r="O33" s="75">
        <f>(E18/'SHEET-4'!E33)*1000</f>
        <v>623.00102783476405</v>
      </c>
      <c r="P33" s="75">
        <f>(F18/'SHEET-4'!F33)*1000</f>
        <v>555.00226178221021</v>
      </c>
      <c r="R33" s="76"/>
    </row>
    <row r="34" spans="1:18" ht="21.6" customHeight="1" x14ac:dyDescent="0.4">
      <c r="A34" s="60">
        <v>6</v>
      </c>
      <c r="B34" s="61" t="s">
        <v>3</v>
      </c>
      <c r="C34" s="77" t="s">
        <v>21</v>
      </c>
      <c r="D34" s="361">
        <f>D19/'SHEET-4'!D34*1000</f>
        <v>770.45108633817813</v>
      </c>
      <c r="E34" s="362">
        <f>E19/'SHEET-4'!E34*1000</f>
        <v>793.36866179216815</v>
      </c>
      <c r="F34" s="363">
        <f>F19/'[7]SHEET-4'!F34*1000</f>
        <v>748.70833362702717</v>
      </c>
      <c r="G34" s="364">
        <f>G19/'[7]SHEET-4'!G34*1000</f>
        <v>744.01719663757262</v>
      </c>
      <c r="H34" s="359">
        <f t="shared" si="1"/>
        <v>2.9040350874446414E-2</v>
      </c>
      <c r="I34" s="360">
        <f t="shared" si="1"/>
        <v>6.6331081294396119E-2</v>
      </c>
      <c r="N34" s="75">
        <f>(D19/'SHEET-4'!D34)*1000</f>
        <v>770.45108633817813</v>
      </c>
      <c r="O34" s="75">
        <f>(E19/'SHEET-4'!E34)*1000</f>
        <v>793.36866179216815</v>
      </c>
      <c r="P34" s="75">
        <f>(F19/'SHEET-4'!F34)*1000</f>
        <v>748.70833362702717</v>
      </c>
      <c r="R34" s="76"/>
    </row>
    <row r="35" spans="1:18" ht="21.6" customHeight="1" x14ac:dyDescent="0.4">
      <c r="A35" s="60">
        <v>7</v>
      </c>
      <c r="B35" s="61" t="s">
        <v>1</v>
      </c>
      <c r="C35" s="77" t="s">
        <v>21</v>
      </c>
      <c r="D35" s="361"/>
      <c r="E35" s="362"/>
      <c r="F35" s="363"/>
      <c r="G35" s="364"/>
      <c r="H35" s="359"/>
      <c r="I35" s="360"/>
      <c r="N35" s="75" t="e">
        <f>(D20/'SHEET-4'!D35)*1000</f>
        <v>#DIV/0!</v>
      </c>
      <c r="O35" s="75" t="e">
        <f>(E20/'SHEET-4'!E35)*1000</f>
        <v>#DIV/0!</v>
      </c>
      <c r="P35" s="75" t="e">
        <f>(F20/'SHEET-4'!F35)*1000</f>
        <v>#DIV/0!</v>
      </c>
      <c r="R35" s="76"/>
    </row>
    <row r="36" spans="1:18" ht="21.6" customHeight="1" x14ac:dyDescent="0.4">
      <c r="A36" s="60">
        <v>8</v>
      </c>
      <c r="B36" s="61" t="s">
        <v>119</v>
      </c>
      <c r="C36" s="77" t="s">
        <v>21</v>
      </c>
      <c r="D36" s="143">
        <f>D21/'SHEET-4'!D36*1000</f>
        <v>775.17485997629342</v>
      </c>
      <c r="E36" s="161">
        <f>E21/'SHEET-4'!E36*1000</f>
        <v>732.32103842280208</v>
      </c>
      <c r="F36" s="246">
        <f>F21/'[7]SHEET-4'!F36*1000</f>
        <v>802.23015453633695</v>
      </c>
      <c r="G36" s="218">
        <f>G21/'[7]SHEET-4'!G36*1000</f>
        <v>696.8471080809652</v>
      </c>
      <c r="H36" s="149">
        <f t="shared" si="1"/>
        <v>-3.3725102960858684E-2</v>
      </c>
      <c r="I36" s="150">
        <f t="shared" si="1"/>
        <v>5.0906332150143951E-2</v>
      </c>
      <c r="N36" s="75">
        <f>(D21/'SHEET-4'!D36)*1000</f>
        <v>775.17485997629342</v>
      </c>
      <c r="O36" s="75">
        <f>(E21/'SHEET-4'!E36)*1000</f>
        <v>732.32103842280208</v>
      </c>
      <c r="P36" s="75">
        <f>(F21/'SHEET-4'!F36)*1000</f>
        <v>802.23015453633695</v>
      </c>
      <c r="R36" s="76"/>
    </row>
    <row r="37" spans="1:18" ht="24" customHeight="1" x14ac:dyDescent="0.4">
      <c r="A37" s="60">
        <v>9</v>
      </c>
      <c r="B37" s="61" t="s">
        <v>10</v>
      </c>
      <c r="C37" s="77" t="s">
        <v>21</v>
      </c>
      <c r="D37" s="143">
        <f>D22/'SHEET-4'!D37*1000</f>
        <v>777.22759727914149</v>
      </c>
      <c r="E37" s="161">
        <f>E22/'SHEET-4'!E37*1000</f>
        <v>692.76766786755036</v>
      </c>
      <c r="F37" s="246">
        <f>F22/'[7]SHEET-4'!F37*1000</f>
        <v>654.82805304259762</v>
      </c>
      <c r="G37" s="218">
        <f>G22/'[7]SHEET-4'!G37*1000</f>
        <v>632.99075775771132</v>
      </c>
      <c r="H37" s="149">
        <f t="shared" si="1"/>
        <v>0.18691860201746974</v>
      </c>
      <c r="I37" s="150">
        <f t="shared" si="1"/>
        <v>9.4435675998795127E-2</v>
      </c>
      <c r="N37" s="75">
        <f>(D22/'SHEET-4'!D37)*1000</f>
        <v>777.22759727914149</v>
      </c>
      <c r="O37" s="75">
        <f>(E22/'SHEET-4'!E37)*1000</f>
        <v>692.76766786755036</v>
      </c>
      <c r="P37" s="75">
        <f>(F22/'SHEET-4'!F37)*1000</f>
        <v>654.82805304259762</v>
      </c>
      <c r="R37" s="76"/>
    </row>
    <row r="38" spans="1:18" ht="21.6" customHeight="1" x14ac:dyDescent="0.4">
      <c r="A38" s="60">
        <v>10</v>
      </c>
      <c r="B38" s="61" t="s">
        <v>5</v>
      </c>
      <c r="C38" s="77" t="s">
        <v>21</v>
      </c>
      <c r="D38" s="229">
        <f>D23/'SHEET-4'!D38*1000</f>
        <v>489.84450223276889</v>
      </c>
      <c r="E38" s="161">
        <f>E23/'SHEET-4'!E38*1000</f>
        <v>372.65603319545937</v>
      </c>
      <c r="F38" s="246">
        <f>F23/'[7]SHEET-4'!F38*1000</f>
        <v>635.98812838478716</v>
      </c>
      <c r="G38" s="218">
        <f>G23/'[7]SHEET-4'!G38*1000</f>
        <v>446.02046827113492</v>
      </c>
      <c r="H38" s="230">
        <f t="shared" si="1"/>
        <v>-0.22978986498250811</v>
      </c>
      <c r="I38" s="150">
        <f t="shared" si="1"/>
        <v>-0.16448670026299658</v>
      </c>
      <c r="N38" s="75">
        <f>(D23/'SHEET-4'!D38)*1000</f>
        <v>489.84450223276889</v>
      </c>
      <c r="O38" s="75">
        <f>(E23/'SHEET-4'!E38)*1000</f>
        <v>372.65603319545937</v>
      </c>
      <c r="P38" s="75">
        <f>(F23/'SHEET-4'!F38)*1000</f>
        <v>635.98812838478716</v>
      </c>
      <c r="R38" s="76"/>
    </row>
    <row r="39" spans="1:18" ht="24" customHeight="1" x14ac:dyDescent="0.4">
      <c r="A39" s="60">
        <v>11</v>
      </c>
      <c r="B39" s="61" t="s">
        <v>11</v>
      </c>
      <c r="C39" s="77" t="s">
        <v>21</v>
      </c>
      <c r="D39" s="143">
        <f>D24/'SHEET-4'!D39*1000</f>
        <v>688.61386543669767</v>
      </c>
      <c r="E39" s="161">
        <f>E24/'SHEET-4'!E39*1000</f>
        <v>618.4976123118787</v>
      </c>
      <c r="F39" s="246">
        <f>F24/'[7]SHEET-4'!F39*1000</f>
        <v>650.37374517039359</v>
      </c>
      <c r="G39" s="218">
        <f>G24/'[7]SHEET-4'!G39*1000</f>
        <v>599.53866329691266</v>
      </c>
      <c r="H39" s="149">
        <f t="shared" si="1"/>
        <v>5.8797146333583038E-2</v>
      </c>
      <c r="I39" s="150">
        <f t="shared" si="1"/>
        <v>3.1622562773031535E-2</v>
      </c>
      <c r="N39" s="75">
        <f>(D24/'SHEET-4'!D39)*1000</f>
        <v>688.61386543669767</v>
      </c>
      <c r="O39" s="75">
        <f>(E24/'SHEET-4'!E39)*1000</f>
        <v>618.4976123118787</v>
      </c>
      <c r="P39" s="75">
        <f>(F24/'SHEET-4'!F39)*1000</f>
        <v>650.37374517039359</v>
      </c>
      <c r="R39" s="76"/>
    </row>
    <row r="40" spans="1:18" ht="31.5" customHeight="1" thickBot="1" x14ac:dyDescent="0.45">
      <c r="A40" s="65">
        <v>12</v>
      </c>
      <c r="B40" s="66" t="s">
        <v>12</v>
      </c>
      <c r="C40" s="78" t="s">
        <v>21</v>
      </c>
      <c r="D40" s="181">
        <f>D25/'SHEET-4'!D40*1000</f>
        <v>757.51717659458063</v>
      </c>
      <c r="E40" s="53">
        <f>E25/'SHEET-4'!E40*1000</f>
        <v>697.7279702884075</v>
      </c>
      <c r="F40" s="247">
        <f>F25/'[7]SHEET-4'!F40*1000</f>
        <v>680.99828136346889</v>
      </c>
      <c r="G40" s="241">
        <f>G25/'[7]SHEET-4'!G40*1000</f>
        <v>631.23012155616391</v>
      </c>
      <c r="H40" s="151">
        <f t="shared" si="1"/>
        <v>0.11236283163286186</v>
      </c>
      <c r="I40" s="152">
        <f t="shared" si="1"/>
        <v>0.10534644412770934</v>
      </c>
      <c r="N40" s="75">
        <f>(D25/'SHEET-4'!D40)*1000</f>
        <v>757.51717659458063</v>
      </c>
      <c r="O40" s="75">
        <f>(E25/'SHEET-4'!E40)*1000</f>
        <v>697.7279702884075</v>
      </c>
      <c r="P40" s="75">
        <f>(F25/'SHEET-4'!F40)*1000</f>
        <v>665.47330924430923</v>
      </c>
      <c r="R40" s="76"/>
    </row>
    <row r="41" spans="1:18" ht="23.25" x14ac:dyDescent="0.35">
      <c r="P41" s="76"/>
    </row>
    <row r="42" spans="1:18" ht="23.25" x14ac:dyDescent="0.35">
      <c r="P42" s="76"/>
    </row>
    <row r="43" spans="1:18" ht="12.75" customHeight="1" x14ac:dyDescent="0.35">
      <c r="A43" s="318"/>
      <c r="B43" s="318"/>
      <c r="P43" s="76"/>
    </row>
    <row r="44" spans="1:18" ht="23.25" x14ac:dyDescent="0.35">
      <c r="P44" s="76"/>
    </row>
    <row r="49" spans="4:6" ht="26.25" x14ac:dyDescent="0.4">
      <c r="D49" s="79"/>
    </row>
    <row r="50" spans="4:6" ht="26.25" x14ac:dyDescent="0.4">
      <c r="D50" s="79"/>
    </row>
    <row r="51" spans="4:6" ht="26.25" x14ac:dyDescent="0.4">
      <c r="D51" s="80"/>
    </row>
    <row r="55" spans="4:6" ht="23.25" x14ac:dyDescent="0.35">
      <c r="F55" s="64"/>
    </row>
    <row r="56" spans="4:6" ht="23.25" x14ac:dyDescent="0.35">
      <c r="F56" s="64"/>
    </row>
    <row r="57" spans="4:6" ht="23.25" x14ac:dyDescent="0.35">
      <c r="F57" s="64"/>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16" zoomScale="60" zoomScaleNormal="60" workbookViewId="0">
      <selection activeCell="M16" sqref="M16"/>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45" t="s">
        <v>226</v>
      </c>
    </row>
    <row r="5" spans="1:10" ht="30" x14ac:dyDescent="0.45">
      <c r="A5" s="365" t="s">
        <v>0</v>
      </c>
      <c r="B5" s="365"/>
      <c r="C5" s="365"/>
      <c r="D5" s="365"/>
      <c r="E5" s="365"/>
      <c r="F5" s="365"/>
      <c r="G5" s="365"/>
      <c r="H5" s="365"/>
      <c r="I5" s="365"/>
      <c r="J5" s="5"/>
    </row>
    <row r="6" spans="1:10" ht="8.25" customHeight="1" x14ac:dyDescent="0.2">
      <c r="A6" s="5"/>
      <c r="B6" s="5"/>
      <c r="C6" s="5"/>
      <c r="D6" s="5"/>
      <c r="E6" s="5"/>
      <c r="F6" s="5"/>
      <c r="G6" s="5"/>
      <c r="H6" s="5"/>
      <c r="I6" s="5"/>
      <c r="J6" s="5"/>
    </row>
    <row r="7" spans="1:10" ht="30" x14ac:dyDescent="0.2">
      <c r="A7" s="367" t="s">
        <v>20</v>
      </c>
      <c r="B7" s="367"/>
      <c r="C7" s="367"/>
      <c r="D7" s="367"/>
      <c r="E7" s="367"/>
      <c r="F7" s="367"/>
      <c r="G7" s="367"/>
      <c r="H7" s="367"/>
      <c r="I7" s="367"/>
      <c r="J7" s="5"/>
    </row>
    <row r="8" spans="1:10" ht="8.25" customHeight="1" x14ac:dyDescent="0.2">
      <c r="A8" s="5"/>
      <c r="B8" s="5"/>
      <c r="C8" s="5"/>
      <c r="D8" s="5"/>
      <c r="E8" s="5"/>
      <c r="F8" s="5"/>
      <c r="G8" s="5"/>
      <c r="H8" s="5"/>
      <c r="I8" s="5"/>
      <c r="J8" s="5"/>
    </row>
    <row r="9" spans="1:10" ht="27.75" x14ac:dyDescent="0.2">
      <c r="A9" s="366" t="s">
        <v>40</v>
      </c>
      <c r="B9" s="366"/>
      <c r="C9" s="366"/>
      <c r="D9" s="366"/>
      <c r="E9" s="366"/>
      <c r="F9" s="366"/>
      <c r="G9" s="366"/>
      <c r="H9" s="366"/>
      <c r="I9" s="366"/>
      <c r="J9" s="5"/>
    </row>
    <row r="10" spans="1:10" ht="13.5" thickBot="1" x14ac:dyDescent="0.25">
      <c r="A10" s="5"/>
      <c r="B10" s="5"/>
      <c r="C10" s="5"/>
      <c r="D10" s="5"/>
      <c r="E10" s="5"/>
      <c r="F10" s="5"/>
      <c r="G10" s="5"/>
      <c r="H10" s="5"/>
      <c r="I10" s="5"/>
      <c r="J10" s="5"/>
    </row>
    <row r="11" spans="1:10" ht="18" x14ac:dyDescent="0.2">
      <c r="A11" s="12"/>
      <c r="B11" s="47"/>
      <c r="C11" s="47"/>
      <c r="D11" s="368" t="s">
        <v>16</v>
      </c>
      <c r="E11" s="368"/>
      <c r="F11" s="368" t="s">
        <v>66</v>
      </c>
      <c r="G11" s="368"/>
      <c r="H11" s="368" t="s">
        <v>17</v>
      </c>
      <c r="I11" s="369"/>
      <c r="J11" s="5"/>
    </row>
    <row r="12" spans="1:10" ht="18" x14ac:dyDescent="0.2">
      <c r="A12" s="13"/>
      <c r="B12" s="48"/>
      <c r="C12" s="48"/>
      <c r="D12" s="48" t="s">
        <v>14</v>
      </c>
      <c r="E12" s="48" t="s">
        <v>15</v>
      </c>
      <c r="F12" s="48" t="s">
        <v>14</v>
      </c>
      <c r="G12" s="48" t="s">
        <v>15</v>
      </c>
      <c r="H12" s="373" t="s">
        <v>14</v>
      </c>
      <c r="I12" s="375" t="s">
        <v>15</v>
      </c>
      <c r="J12" s="5"/>
    </row>
    <row r="13" spans="1:10" ht="27" customHeight="1" thickBot="1" x14ac:dyDescent="0.25">
      <c r="A13" s="15" t="s">
        <v>38</v>
      </c>
      <c r="B13" s="16" t="s">
        <v>39</v>
      </c>
      <c r="C13" s="1"/>
      <c r="D13" s="333" t="str">
        <f>+'SHEET-5'!D13:E13</f>
        <v>Oct-2022 to December-2022</v>
      </c>
      <c r="E13" s="333"/>
      <c r="F13" s="333" t="str">
        <f>+'SHEET-5'!F13:G13</f>
        <v>Oct-2021 to December-2021</v>
      </c>
      <c r="G13" s="333"/>
      <c r="H13" s="374"/>
      <c r="I13" s="376"/>
      <c r="J13" s="5"/>
    </row>
    <row r="14" spans="1:10" ht="23.25" x14ac:dyDescent="0.2">
      <c r="A14" s="120">
        <v>1</v>
      </c>
      <c r="B14" s="121" t="s">
        <v>4</v>
      </c>
      <c r="C14" s="122" t="s">
        <v>35</v>
      </c>
      <c r="D14" s="226">
        <v>92.945335253562817</v>
      </c>
      <c r="E14" s="221">
        <v>92.848881940726073</v>
      </c>
      <c r="F14" s="248">
        <v>96.262419430484044</v>
      </c>
      <c r="G14" s="249">
        <v>92.530929036781643</v>
      </c>
      <c r="H14" s="139">
        <f>(D14-F14)/F14</f>
        <v>-3.4458765908295726E-2</v>
      </c>
      <c r="I14" s="140">
        <f>(E14-G14)/G14</f>
        <v>3.4361797428624336E-3</v>
      </c>
      <c r="J14" s="5"/>
    </row>
    <row r="15" spans="1:10" ht="23.25" x14ac:dyDescent="0.2">
      <c r="A15" s="13">
        <v>2</v>
      </c>
      <c r="B15" s="14" t="s">
        <v>82</v>
      </c>
      <c r="C15" s="25" t="s">
        <v>35</v>
      </c>
      <c r="D15" s="222">
        <v>0</v>
      </c>
      <c r="E15" s="221">
        <v>0</v>
      </c>
      <c r="F15" s="246">
        <v>0</v>
      </c>
      <c r="G15" s="249">
        <v>0</v>
      </c>
      <c r="H15" s="188" t="e">
        <f t="shared" ref="H15:H18" si="0">(D15-F15)/F15</f>
        <v>#DIV/0!</v>
      </c>
      <c r="I15" s="189" t="e">
        <f t="shared" ref="I15:I25" si="1">(E15-G15)/G15</f>
        <v>#DIV/0!</v>
      </c>
      <c r="J15" s="5"/>
    </row>
    <row r="16" spans="1:10" ht="23.25" x14ac:dyDescent="0.2">
      <c r="A16" s="13">
        <v>3</v>
      </c>
      <c r="B16" s="14" t="s">
        <v>7</v>
      </c>
      <c r="C16" s="25" t="s">
        <v>35</v>
      </c>
      <c r="D16" s="222">
        <v>0</v>
      </c>
      <c r="E16" s="221">
        <v>0</v>
      </c>
      <c r="F16" s="246">
        <v>0</v>
      </c>
      <c r="G16" s="249">
        <v>0</v>
      </c>
      <c r="H16" s="139">
        <v>0</v>
      </c>
      <c r="I16" s="136">
        <v>0</v>
      </c>
      <c r="J16" s="5"/>
    </row>
    <row r="17" spans="1:16" ht="23.25" x14ac:dyDescent="0.2">
      <c r="A17" s="13">
        <v>4</v>
      </c>
      <c r="B17" s="14" t="s">
        <v>8</v>
      </c>
      <c r="C17" s="25" t="s">
        <v>35</v>
      </c>
      <c r="D17" s="222">
        <v>92.945335253562817</v>
      </c>
      <c r="E17" s="222">
        <v>92.848881940726073</v>
      </c>
      <c r="F17" s="246">
        <f>SUM(F14:F16)</f>
        <v>96.262419430484044</v>
      </c>
      <c r="G17" s="246">
        <f>SUM(G14:G16)</f>
        <v>92.530929036781643</v>
      </c>
      <c r="H17" s="139">
        <f t="shared" si="0"/>
        <v>-3.4458765908295726E-2</v>
      </c>
      <c r="I17" s="136">
        <f t="shared" si="1"/>
        <v>3.4361797428624336E-3</v>
      </c>
      <c r="J17" s="5"/>
    </row>
    <row r="18" spans="1:16" ht="23.25" x14ac:dyDescent="0.2">
      <c r="A18" s="13">
        <v>5</v>
      </c>
      <c r="B18" s="14" t="s">
        <v>2</v>
      </c>
      <c r="C18" s="25" t="s">
        <v>35</v>
      </c>
      <c r="D18" s="227">
        <v>18.98314469240086</v>
      </c>
      <c r="E18" s="221">
        <v>17.424438806500106</v>
      </c>
      <c r="F18" s="250">
        <v>19.872227823376281</v>
      </c>
      <c r="G18" s="249">
        <v>17.653203592939896</v>
      </c>
      <c r="H18" s="139">
        <f t="shared" si="0"/>
        <v>-4.4739982797981387E-2</v>
      </c>
      <c r="I18" s="136">
        <f t="shared" si="1"/>
        <v>-1.2958825588533991E-2</v>
      </c>
      <c r="J18" s="5"/>
    </row>
    <row r="19" spans="1:16" ht="18" customHeight="1" x14ac:dyDescent="0.2">
      <c r="A19" s="13">
        <v>6</v>
      </c>
      <c r="B19" s="14" t="s">
        <v>3</v>
      </c>
      <c r="C19" s="25" t="s">
        <v>35</v>
      </c>
      <c r="D19" s="361">
        <v>81.335564637032178</v>
      </c>
      <c r="E19" s="362">
        <v>78.58165496162303</v>
      </c>
      <c r="F19" s="363">
        <v>84.366441894899694</v>
      </c>
      <c r="G19" s="364">
        <v>82.344650760197808</v>
      </c>
      <c r="H19" s="377">
        <f t="shared" ref="H19" si="2">(D19-F19)/F19</f>
        <v>-3.5925152107792582E-2</v>
      </c>
      <c r="I19" s="378">
        <f t="shared" si="1"/>
        <v>-4.5698120810947242E-2</v>
      </c>
      <c r="J19" s="5"/>
    </row>
    <row r="20" spans="1:16" ht="18" customHeight="1" x14ac:dyDescent="0.2">
      <c r="A20" s="13">
        <v>7</v>
      </c>
      <c r="B20" s="14" t="s">
        <v>1</v>
      </c>
      <c r="C20" s="25" t="s">
        <v>35</v>
      </c>
      <c r="D20" s="361"/>
      <c r="E20" s="362"/>
      <c r="F20" s="363"/>
      <c r="G20" s="364"/>
      <c r="H20" s="377"/>
      <c r="I20" s="378"/>
      <c r="J20" s="5"/>
      <c r="P20" s="2"/>
    </row>
    <row r="21" spans="1:16" ht="23.25" x14ac:dyDescent="0.2">
      <c r="A21" s="13">
        <v>8</v>
      </c>
      <c r="B21" s="14" t="s">
        <v>9</v>
      </c>
      <c r="C21" s="25" t="s">
        <v>35</v>
      </c>
      <c r="D21" s="227">
        <v>3.4883152801980724</v>
      </c>
      <c r="E21" s="221">
        <v>3.4730345731122698</v>
      </c>
      <c r="F21" s="250">
        <v>3.5694924601397142</v>
      </c>
      <c r="G21" s="249">
        <v>3.5454527027304139</v>
      </c>
      <c r="H21" s="139">
        <f t="shared" ref="H21:H25" si="3">(D21-F21)/F21</f>
        <v>-2.2741939042634787E-2</v>
      </c>
      <c r="I21" s="136">
        <f t="shared" si="1"/>
        <v>-2.0425636918629218E-2</v>
      </c>
      <c r="J21" s="5"/>
    </row>
    <row r="22" spans="1:16" ht="23.25" x14ac:dyDescent="0.2">
      <c r="A22" s="13">
        <v>9</v>
      </c>
      <c r="B22" s="14" t="s">
        <v>10</v>
      </c>
      <c r="C22" s="25" t="s">
        <v>35</v>
      </c>
      <c r="D22" s="222">
        <v>41.200123340858816</v>
      </c>
      <c r="E22" s="221">
        <v>38.578213315581749</v>
      </c>
      <c r="F22" s="246">
        <v>42.32886481079364</v>
      </c>
      <c r="G22" s="249">
        <v>39.032474223619431</v>
      </c>
      <c r="H22" s="139">
        <f t="shared" si="3"/>
        <v>-2.666599907604893E-2</v>
      </c>
      <c r="I22" s="136">
        <f t="shared" si="1"/>
        <v>-1.1638024928555478E-2</v>
      </c>
      <c r="J22" s="5"/>
    </row>
    <row r="23" spans="1:16" ht="23.25" x14ac:dyDescent="0.2">
      <c r="A23" s="13">
        <v>10</v>
      </c>
      <c r="B23" s="14" t="s">
        <v>5</v>
      </c>
      <c r="C23" s="25" t="s">
        <v>35</v>
      </c>
      <c r="D23" s="227">
        <v>35.459459724012362</v>
      </c>
      <c r="E23" s="221">
        <v>35.400264919513702</v>
      </c>
      <c r="F23" s="250">
        <v>49.238557908531192</v>
      </c>
      <c r="G23" s="249">
        <v>39.781558787092536</v>
      </c>
      <c r="H23" s="139">
        <f t="shared" si="3"/>
        <v>-0.27984365850266768</v>
      </c>
      <c r="I23" s="136">
        <f t="shared" si="1"/>
        <v>-0.1101337906598165</v>
      </c>
      <c r="J23" s="5"/>
    </row>
    <row r="24" spans="1:16" ht="23.25" x14ac:dyDescent="0.2">
      <c r="A24" s="13">
        <v>11</v>
      </c>
      <c r="B24" s="14" t="s">
        <v>11</v>
      </c>
      <c r="C24" s="25" t="s">
        <v>35</v>
      </c>
      <c r="D24" s="222">
        <v>40.435760835052101</v>
      </c>
      <c r="E24" s="221">
        <v>38.147624998784842</v>
      </c>
      <c r="F24" s="246">
        <v>43.136970553044037</v>
      </c>
      <c r="G24" s="249">
        <v>39.128847641101537</v>
      </c>
      <c r="H24" s="139">
        <f t="shared" si="3"/>
        <v>-6.2619365323078324E-2</v>
      </c>
      <c r="I24" s="136">
        <f t="shared" si="1"/>
        <v>-2.5076706866419538E-2</v>
      </c>
      <c r="J24" s="5"/>
    </row>
    <row r="25" spans="1:16" ht="24" thickBot="1" x14ac:dyDescent="0.25">
      <c r="A25" s="15">
        <v>12</v>
      </c>
      <c r="B25" s="16" t="s">
        <v>12</v>
      </c>
      <c r="C25" s="26" t="s">
        <v>35</v>
      </c>
      <c r="D25" s="181">
        <v>67.760933083203966</v>
      </c>
      <c r="E25" s="181">
        <v>65.860463640323374</v>
      </c>
      <c r="F25" s="247">
        <v>71.011912003950741</v>
      </c>
      <c r="G25" s="247">
        <v>66.052852299534251</v>
      </c>
      <c r="H25" s="139">
        <f t="shared" si="3"/>
        <v>-4.5780754650936686E-2</v>
      </c>
      <c r="I25" s="135">
        <f t="shared" si="1"/>
        <v>-2.9126472591742081E-3</v>
      </c>
      <c r="J25" s="5"/>
    </row>
    <row r="26" spans="1:16" ht="8.25" customHeight="1" x14ac:dyDescent="0.3">
      <c r="A26" s="6"/>
      <c r="B26" s="7"/>
      <c r="C26" s="8"/>
      <c r="D26" s="220"/>
      <c r="E26" s="220"/>
      <c r="F26" s="220"/>
      <c r="G26" s="220"/>
      <c r="H26" s="10"/>
      <c r="I26" s="11"/>
      <c r="J26" s="5"/>
    </row>
    <row r="27" spans="1:16" ht="27" customHeight="1" x14ac:dyDescent="0.3">
      <c r="A27" s="3" t="s">
        <v>6</v>
      </c>
      <c r="B27" s="9" t="s">
        <v>103</v>
      </c>
      <c r="C27" s="8"/>
      <c r="D27" s="220"/>
      <c r="E27" s="220"/>
      <c r="F27" s="220"/>
      <c r="G27" s="220"/>
      <c r="H27" s="10"/>
      <c r="I27" s="11"/>
      <c r="J27" s="5"/>
    </row>
    <row r="28" spans="1:16" ht="9" customHeight="1" thickBot="1" x14ac:dyDescent="0.35">
      <c r="A28" s="6"/>
      <c r="B28" s="7"/>
      <c r="C28" s="8"/>
      <c r="D28" s="220"/>
      <c r="E28" s="220"/>
      <c r="F28" s="220"/>
      <c r="G28" s="220"/>
      <c r="H28" s="10"/>
      <c r="I28" s="138"/>
      <c r="J28" s="5"/>
    </row>
    <row r="29" spans="1:16" ht="23.25" x14ac:dyDescent="0.2">
      <c r="A29" s="12">
        <v>1</v>
      </c>
      <c r="B29" s="17" t="s">
        <v>4</v>
      </c>
      <c r="C29" s="4" t="s">
        <v>35</v>
      </c>
      <c r="D29" s="180">
        <v>418.34046764982799</v>
      </c>
      <c r="E29" s="180">
        <v>418.01311696694256</v>
      </c>
      <c r="F29" s="244">
        <v>417.60639245974494</v>
      </c>
      <c r="G29" s="244">
        <v>417.71288360414712</v>
      </c>
      <c r="H29" s="132">
        <f>(D29-F29)/F29</f>
        <v>1.7578159801608111E-3</v>
      </c>
      <c r="I29" s="133">
        <f>(E29-G29)/G29</f>
        <v>7.1875533310090554E-4</v>
      </c>
      <c r="J29" s="5"/>
    </row>
    <row r="30" spans="1:16" ht="23.25" x14ac:dyDescent="0.2">
      <c r="A30" s="13">
        <v>2</v>
      </c>
      <c r="B30" s="14" t="s">
        <v>82</v>
      </c>
      <c r="C30" s="25" t="s">
        <v>35</v>
      </c>
      <c r="D30" s="222">
        <v>0</v>
      </c>
      <c r="E30" s="221">
        <v>0</v>
      </c>
      <c r="F30" s="246">
        <v>0</v>
      </c>
      <c r="G30" s="249">
        <v>0</v>
      </c>
      <c r="H30" s="185" t="e">
        <f t="shared" ref="H30:H40" si="4">(D30-F30)/F30</f>
        <v>#DIV/0!</v>
      </c>
      <c r="I30" s="189" t="e">
        <f t="shared" ref="I30:I40" si="5">(E30-G30)/G30</f>
        <v>#DIV/0!</v>
      </c>
      <c r="J30" s="5"/>
    </row>
    <row r="31" spans="1:16" ht="23.25" x14ac:dyDescent="0.2">
      <c r="A31" s="13">
        <v>3</v>
      </c>
      <c r="B31" s="14" t="s">
        <v>7</v>
      </c>
      <c r="C31" s="25" t="s">
        <v>35</v>
      </c>
      <c r="D31" s="222">
        <v>0</v>
      </c>
      <c r="E31" s="221">
        <v>0</v>
      </c>
      <c r="F31" s="246">
        <v>0</v>
      </c>
      <c r="G31" s="249">
        <v>0</v>
      </c>
      <c r="H31" s="137">
        <v>0</v>
      </c>
      <c r="I31" s="136">
        <v>0</v>
      </c>
      <c r="J31" s="5"/>
    </row>
    <row r="32" spans="1:16" ht="23.25" x14ac:dyDescent="0.2">
      <c r="A32" s="13">
        <v>4</v>
      </c>
      <c r="B32" s="14" t="s">
        <v>8</v>
      </c>
      <c r="C32" s="25" t="s">
        <v>35</v>
      </c>
      <c r="D32" s="222">
        <v>418.34046764982799</v>
      </c>
      <c r="E32" s="221">
        <v>418.01311696694256</v>
      </c>
      <c r="F32" s="246">
        <f>F29</f>
        <v>417.60639245974494</v>
      </c>
      <c r="G32" s="249">
        <f>G29</f>
        <v>417.71288360414712</v>
      </c>
      <c r="H32" s="137">
        <f t="shared" si="4"/>
        <v>1.7578159801608111E-3</v>
      </c>
      <c r="I32" s="136">
        <f t="shared" si="5"/>
        <v>7.1875533310090554E-4</v>
      </c>
      <c r="J32" s="5"/>
    </row>
    <row r="33" spans="1:10" ht="23.25" x14ac:dyDescent="0.2">
      <c r="A33" s="13">
        <v>5</v>
      </c>
      <c r="B33" s="14" t="s">
        <v>2</v>
      </c>
      <c r="C33" s="25" t="s">
        <v>35</v>
      </c>
      <c r="D33" s="222">
        <v>355.81020417687938</v>
      </c>
      <c r="E33" s="221">
        <v>361.90937657526729</v>
      </c>
      <c r="F33" s="246">
        <v>355.22122294539219</v>
      </c>
      <c r="G33" s="249">
        <v>366.28444340438716</v>
      </c>
      <c r="H33" s="137">
        <f t="shared" si="4"/>
        <v>1.6580688130161062E-3</v>
      </c>
      <c r="I33" s="136">
        <f t="shared" si="5"/>
        <v>-1.1944451662910758E-2</v>
      </c>
      <c r="J33" s="5"/>
    </row>
    <row r="34" spans="1:10" ht="18" customHeight="1" x14ac:dyDescent="0.2">
      <c r="A34" s="13">
        <v>6</v>
      </c>
      <c r="B34" s="14" t="s">
        <v>3</v>
      </c>
      <c r="C34" s="25" t="s">
        <v>35</v>
      </c>
      <c r="D34" s="379">
        <v>462.67465899802619</v>
      </c>
      <c r="E34" s="362">
        <v>462.98253192584173</v>
      </c>
      <c r="F34" s="371">
        <v>464.28384246684027</v>
      </c>
      <c r="G34" s="364">
        <v>468.91491470692159</v>
      </c>
      <c r="H34" s="377">
        <f t="shared" si="4"/>
        <v>-3.4659475984866101E-3</v>
      </c>
      <c r="I34" s="378">
        <f t="shared" si="5"/>
        <v>-1.2651298977742451E-2</v>
      </c>
      <c r="J34" s="5"/>
    </row>
    <row r="35" spans="1:10" ht="18" customHeight="1" x14ac:dyDescent="0.2">
      <c r="A35" s="13">
        <v>7</v>
      </c>
      <c r="B35" s="14" t="s">
        <v>1</v>
      </c>
      <c r="C35" s="25" t="s">
        <v>35</v>
      </c>
      <c r="D35" s="380"/>
      <c r="E35" s="362" t="e">
        <v>#DIV/0!</v>
      </c>
      <c r="F35" s="372"/>
      <c r="G35" s="364" t="e">
        <v>#DIV/0!</v>
      </c>
      <c r="H35" s="377"/>
      <c r="I35" s="378"/>
      <c r="J35" s="5"/>
    </row>
    <row r="36" spans="1:10" ht="23.25" x14ac:dyDescent="0.2">
      <c r="A36" s="13">
        <v>8</v>
      </c>
      <c r="B36" s="14" t="s">
        <v>9</v>
      </c>
      <c r="C36" s="25" t="s">
        <v>35</v>
      </c>
      <c r="D36" s="222">
        <v>334.18340314387729</v>
      </c>
      <c r="E36" s="221">
        <v>336.75626515593859</v>
      </c>
      <c r="F36" s="246">
        <v>337.5600861713894</v>
      </c>
      <c r="G36" s="249">
        <v>343.97262943333124</v>
      </c>
      <c r="H36" s="137">
        <f t="shared" si="4"/>
        <v>-1.0003205846433135E-2</v>
      </c>
      <c r="I36" s="136">
        <f t="shared" si="5"/>
        <v>-2.0979472376279049E-2</v>
      </c>
      <c r="J36" s="5"/>
    </row>
    <row r="37" spans="1:10" ht="23.25" x14ac:dyDescent="0.2">
      <c r="A37" s="13">
        <v>9</v>
      </c>
      <c r="B37" s="14" t="s">
        <v>10</v>
      </c>
      <c r="C37" s="25" t="s">
        <v>35</v>
      </c>
      <c r="D37" s="222">
        <v>394.16305838599459</v>
      </c>
      <c r="E37" s="221">
        <v>396.75889183071848</v>
      </c>
      <c r="F37" s="246">
        <v>393.76154810871219</v>
      </c>
      <c r="G37" s="249">
        <v>400.20552405576757</v>
      </c>
      <c r="H37" s="137">
        <f t="shared" si="4"/>
        <v>1.0196787350387664E-3</v>
      </c>
      <c r="I37" s="136">
        <f t="shared" si="5"/>
        <v>-8.612155549778986E-3</v>
      </c>
      <c r="J37" s="5"/>
    </row>
    <row r="38" spans="1:10" ht="23.25" x14ac:dyDescent="0.2">
      <c r="A38" s="13">
        <v>10</v>
      </c>
      <c r="B38" s="14" t="s">
        <v>223</v>
      </c>
      <c r="C38" s="25" t="s">
        <v>35</v>
      </c>
      <c r="D38" s="222">
        <v>92.701907629965177</v>
      </c>
      <c r="E38" s="221">
        <v>86.060598528597254</v>
      </c>
      <c r="F38" s="246">
        <v>99.82383473779332</v>
      </c>
      <c r="G38" s="249">
        <v>88.582005985807825</v>
      </c>
      <c r="H38" s="137">
        <f t="shared" si="4"/>
        <v>-7.1344956107279048E-2</v>
      </c>
      <c r="I38" s="136">
        <f t="shared" si="5"/>
        <v>-2.8464104296921647E-2</v>
      </c>
      <c r="J38" s="5"/>
    </row>
    <row r="39" spans="1:10" ht="23.25" x14ac:dyDescent="0.2">
      <c r="A39" s="13">
        <v>11</v>
      </c>
      <c r="B39" s="14" t="s">
        <v>11</v>
      </c>
      <c r="C39" s="25" t="s">
        <v>35</v>
      </c>
      <c r="D39" s="222">
        <v>354.02386612971083</v>
      </c>
      <c r="E39" s="221">
        <v>354.66158927220044</v>
      </c>
      <c r="F39" s="246">
        <v>359.38480363119436</v>
      </c>
      <c r="G39" s="249">
        <v>360.11362406392232</v>
      </c>
      <c r="H39" s="137">
        <f t="shared" si="4"/>
        <v>-1.4916984378073485E-2</v>
      </c>
      <c r="I39" s="136">
        <f t="shared" si="5"/>
        <v>-1.5139762639899742E-2</v>
      </c>
      <c r="J39" s="5"/>
    </row>
    <row r="40" spans="1:10" ht="24" thickBot="1" x14ac:dyDescent="0.25">
      <c r="A40" s="15"/>
      <c r="B40" s="16" t="s">
        <v>12</v>
      </c>
      <c r="C40" s="26" t="s">
        <v>35</v>
      </c>
      <c r="D40" s="181">
        <v>387.49323308640453</v>
      </c>
      <c r="E40" s="228">
        <v>386.75684197476198</v>
      </c>
      <c r="F40" s="247">
        <v>389.9336914818868</v>
      </c>
      <c r="G40" s="249">
        <v>389.1537418206197</v>
      </c>
      <c r="H40" s="134">
        <f t="shared" si="4"/>
        <v>-6.2586497365940772E-3</v>
      </c>
      <c r="I40" s="135">
        <f t="shared" si="5"/>
        <v>-6.1592619786823679E-3</v>
      </c>
      <c r="J40" s="5"/>
    </row>
    <row r="41" spans="1:10" ht="15.75" customHeight="1" x14ac:dyDescent="0.3">
      <c r="A41" s="6"/>
      <c r="B41" s="7"/>
      <c r="C41" s="8"/>
      <c r="D41" s="111"/>
      <c r="E41" s="111"/>
      <c r="F41" s="237"/>
      <c r="G41" s="237"/>
      <c r="H41" s="10"/>
      <c r="I41" s="11"/>
      <c r="J41" s="5"/>
    </row>
    <row r="42" spans="1:10" ht="20.25" x14ac:dyDescent="0.3">
      <c r="A42" s="3" t="s">
        <v>45</v>
      </c>
      <c r="B42" s="9" t="s">
        <v>36</v>
      </c>
      <c r="C42" s="8"/>
      <c r="D42" s="111"/>
      <c r="E42" s="111"/>
      <c r="F42" s="111"/>
      <c r="G42" s="111"/>
      <c r="H42" s="10"/>
      <c r="I42" s="11"/>
      <c r="J42" s="5"/>
    </row>
    <row r="43" spans="1:10" ht="12" customHeight="1" thickBot="1" x14ac:dyDescent="0.35">
      <c r="A43" s="6"/>
      <c r="B43" s="7"/>
      <c r="C43" s="8"/>
      <c r="D43" s="111"/>
      <c r="E43" s="111"/>
      <c r="F43" s="111"/>
      <c r="G43" s="111"/>
      <c r="H43" s="10"/>
      <c r="I43" s="11"/>
      <c r="J43" s="5"/>
    </row>
    <row r="44" spans="1:10" ht="23.25" x14ac:dyDescent="0.2">
      <c r="A44" s="12">
        <v>1</v>
      </c>
      <c r="B44" s="17" t="s">
        <v>4</v>
      </c>
      <c r="C44" s="4" t="s">
        <v>37</v>
      </c>
      <c r="D44" s="195">
        <f>'SHEET-4'!D29/'SHEET-4'!D14*10^6</f>
        <v>510869.73590292659</v>
      </c>
      <c r="E44" s="195">
        <f>'SHEET-4'!E29/'SHEET-4'!E14*10^6</f>
        <v>1494384.3683083514</v>
      </c>
      <c r="F44" s="195">
        <f>'[7]SHEET-4'!F29/'[7]SHEET-4'!F14*10^6</f>
        <v>513635.80952380947</v>
      </c>
      <c r="G44" s="195">
        <f>'[7]SHEET-4'!G29/'[7]SHEET-4'!G14*10^6</f>
        <v>1454235.4285714284</v>
      </c>
      <c r="H44" s="224">
        <f>(D44-F44)/F44</f>
        <v>-5.3852818857145004E-3</v>
      </c>
      <c r="I44" s="224">
        <f>(E44-G44)/G44</f>
        <v>2.7608280576937514E-2</v>
      </c>
      <c r="J44" s="5"/>
    </row>
    <row r="45" spans="1:10" ht="23.25" x14ac:dyDescent="0.2">
      <c r="A45" s="13">
        <v>2</v>
      </c>
      <c r="B45" s="14" t="s">
        <v>82</v>
      </c>
      <c r="C45" s="25" t="s">
        <v>37</v>
      </c>
      <c r="D45" s="195">
        <v>0</v>
      </c>
      <c r="E45" s="195">
        <v>0</v>
      </c>
      <c r="F45" s="195">
        <v>0</v>
      </c>
      <c r="G45" s="195">
        <v>0</v>
      </c>
      <c r="H45" s="185" t="e">
        <f t="shared" ref="H45:H55" si="6">(D45-F45)/F45</f>
        <v>#DIV/0!</v>
      </c>
      <c r="I45" s="185" t="e">
        <f t="shared" ref="I45:I54" si="7">(E45-G45)/G45</f>
        <v>#DIV/0!</v>
      </c>
      <c r="J45" s="5"/>
    </row>
    <row r="46" spans="1:10" ht="23.25" x14ac:dyDescent="0.2">
      <c r="A46" s="13">
        <v>3</v>
      </c>
      <c r="B46" s="14" t="s">
        <v>7</v>
      </c>
      <c r="C46" s="25" t="s">
        <v>37</v>
      </c>
      <c r="D46" s="205">
        <v>0</v>
      </c>
      <c r="E46" s="205">
        <f t="shared" ref="E46" si="8">D46</f>
        <v>0</v>
      </c>
      <c r="F46" s="205">
        <v>0</v>
      </c>
      <c r="G46" s="205">
        <f t="shared" ref="G46" si="9">F46</f>
        <v>0</v>
      </c>
      <c r="H46" s="224">
        <v>0</v>
      </c>
      <c r="I46" s="224">
        <v>0</v>
      </c>
      <c r="J46" s="5"/>
    </row>
    <row r="47" spans="1:10" ht="23.25" x14ac:dyDescent="0.2">
      <c r="A47" s="13">
        <v>4</v>
      </c>
      <c r="B47" s="14" t="s">
        <v>8</v>
      </c>
      <c r="C47" s="25" t="s">
        <v>37</v>
      </c>
      <c r="D47" s="195">
        <f>'SHEET-4'!D32/'SHEET-4'!D17*10^6</f>
        <v>510869.73590292659</v>
      </c>
      <c r="E47" s="195">
        <f>'SHEET-4'!E32/'SHEET-4'!E17*10^6</f>
        <v>1494384.3683083514</v>
      </c>
      <c r="F47" s="195">
        <f>'[7]SHEET-4'!F32/'[7]SHEET-4'!F17*10^6</f>
        <v>513635.80952380947</v>
      </c>
      <c r="G47" s="195">
        <f>'[7]SHEET-4'!G32/'[7]SHEET-4'!G17*10^6</f>
        <v>1454235.4285714284</v>
      </c>
      <c r="H47" s="224">
        <f t="shared" si="6"/>
        <v>-5.3852818857145004E-3</v>
      </c>
      <c r="I47" s="224">
        <f t="shared" si="7"/>
        <v>2.7608280576937514E-2</v>
      </c>
      <c r="J47" s="5"/>
    </row>
    <row r="48" spans="1:10" ht="23.25" x14ac:dyDescent="0.2">
      <c r="A48" s="13">
        <v>5</v>
      </c>
      <c r="B48" s="14" t="s">
        <v>2</v>
      </c>
      <c r="C48" s="25" t="s">
        <v>37</v>
      </c>
      <c r="D48" s="195">
        <f>'SHEET-4'!D33/'SHEET-4'!D18*10^6</f>
        <v>214.1856702461769</v>
      </c>
      <c r="E48" s="195">
        <f>'SHEET-4'!E33/'SHEET-4'!E18*10^6</f>
        <v>847.81754305749303</v>
      </c>
      <c r="F48" s="195">
        <f>'[7]SHEET-4'!F33/'[7]SHEET-4'!F18*10^6</f>
        <v>192.5729981172415</v>
      </c>
      <c r="G48" s="195">
        <f>'[7]SHEET-4'!G33/'[7]SHEET-4'!G18*10^6</f>
        <v>809.29542101089658</v>
      </c>
      <c r="H48" s="224">
        <f t="shared" si="6"/>
        <v>0.11223106219583943</v>
      </c>
      <c r="I48" s="224">
        <f t="shared" si="7"/>
        <v>4.7599579889477439E-2</v>
      </c>
      <c r="J48" s="5"/>
    </row>
    <row r="49" spans="1:10" ht="18" customHeight="1" x14ac:dyDescent="0.2">
      <c r="A49" s="13">
        <v>6</v>
      </c>
      <c r="B49" s="14" t="s">
        <v>3</v>
      </c>
      <c r="C49" s="25" t="s">
        <v>37</v>
      </c>
      <c r="D49" s="370">
        <f>'SHEET-4'!D34/'SHEET-4'!D19*10^6</f>
        <v>1163.681465271741</v>
      </c>
      <c r="E49" s="370">
        <f>'SHEET-4'!E34/'SHEET-4'!E19*10^6</f>
        <v>3857.9393866722621</v>
      </c>
      <c r="F49" s="370">
        <f>'[7]SHEET-4'!F34/'[7]SHEET-4'!F19*10^6</f>
        <v>1095.7433114328674</v>
      </c>
      <c r="G49" s="370">
        <f>'[7]SHEET-4'!G34/'[7]SHEET-4'!G19*10^6</f>
        <v>3548.7225300187429</v>
      </c>
      <c r="H49" s="377">
        <f t="shared" si="6"/>
        <v>6.20018877870522E-2</v>
      </c>
      <c r="I49" s="377">
        <f t="shared" si="7"/>
        <v>8.7134695383435934E-2</v>
      </c>
      <c r="J49" s="5"/>
    </row>
    <row r="50" spans="1:10" ht="18" customHeight="1" x14ac:dyDescent="0.2">
      <c r="A50" s="13">
        <v>7</v>
      </c>
      <c r="B50" s="14" t="s">
        <v>1</v>
      </c>
      <c r="C50" s="25" t="s">
        <v>37</v>
      </c>
      <c r="D50" s="370"/>
      <c r="E50" s="370"/>
      <c r="F50" s="370"/>
      <c r="G50" s="370"/>
      <c r="H50" s="377"/>
      <c r="I50" s="377"/>
      <c r="J50" s="5"/>
    </row>
    <row r="51" spans="1:10" ht="23.25" x14ac:dyDescent="0.2">
      <c r="A51" s="13">
        <v>8</v>
      </c>
      <c r="B51" s="14" t="s">
        <v>9</v>
      </c>
      <c r="C51" s="25" t="s">
        <v>37</v>
      </c>
      <c r="D51" s="195">
        <f>'SHEET-4'!D36/'SHEET-4'!D21*10^6</f>
        <v>3880.3763912783961</v>
      </c>
      <c r="E51" s="195">
        <f>'SHEET-4'!E36/'SHEET-4'!E21*10^6</f>
        <v>10911.800849689265</v>
      </c>
      <c r="F51" s="195">
        <f>'[7]SHEET-4'!F36/'[7]SHEET-4'!F21*10^6</f>
        <v>3578.4741249565864</v>
      </c>
      <c r="G51" s="195">
        <f>'[7]SHEET-4'!G36/'[7]SHEET-4'!G21*10^6</f>
        <v>10912.978041909468</v>
      </c>
      <c r="H51" s="224">
        <f t="shared" si="6"/>
        <v>8.4366200726817442E-2</v>
      </c>
      <c r="I51" s="224">
        <f t="shared" si="7"/>
        <v>-1.078708502556868E-4</v>
      </c>
      <c r="J51" s="5"/>
    </row>
    <row r="52" spans="1:10" ht="23.25" x14ac:dyDescent="0.2">
      <c r="A52" s="13">
        <v>9</v>
      </c>
      <c r="B52" s="14" t="s">
        <v>10</v>
      </c>
      <c r="C52" s="25" t="s">
        <v>37</v>
      </c>
      <c r="D52" s="195">
        <f>'SHEET-4'!D37/'SHEET-4'!D22*10^6</f>
        <v>362.65936924941514</v>
      </c>
      <c r="E52" s="195">
        <f>'SHEET-4'!E37/'SHEET-4'!E22*10^6</f>
        <v>1304.9096684138999</v>
      </c>
      <c r="F52" s="195">
        <f>'[7]SHEET-4'!F37/'[7]SHEET-4'!F22*10^6</f>
        <v>329.45530408466539</v>
      </c>
      <c r="G52" s="195">
        <f>'[7]SHEET-4'!G37/'[7]SHEET-4'!G22*10^6</f>
        <v>1223.1323393867588</v>
      </c>
      <c r="H52" s="224">
        <f t="shared" si="6"/>
        <v>0.10078473393227498</v>
      </c>
      <c r="I52" s="224">
        <f t="shared" si="7"/>
        <v>6.6858937822003639E-2</v>
      </c>
      <c r="J52" s="5"/>
    </row>
    <row r="53" spans="1:10" ht="23.25" x14ac:dyDescent="0.2">
      <c r="A53" s="13">
        <v>10</v>
      </c>
      <c r="B53" s="14" t="s">
        <v>5</v>
      </c>
      <c r="C53" s="25" t="s">
        <v>37</v>
      </c>
      <c r="D53" s="195">
        <f>'SHEET-4'!D38/'SHEET-4'!D23*10^6</f>
        <v>2543.2196363496132</v>
      </c>
      <c r="E53" s="195">
        <f>'SHEET-4'!E38/'SHEET-4'!E23*10^6</f>
        <v>6201.1501455758435</v>
      </c>
      <c r="F53" s="195">
        <f>'[7]SHEET-4'!F38/'[7]SHEET-4'!F23*10^6</f>
        <v>1648.5999788143076</v>
      </c>
      <c r="G53" s="195">
        <f>'[7]SHEET-4'!G38/'[7]SHEET-4'!G23*10^6</f>
        <v>4307.288382674139</v>
      </c>
      <c r="H53" s="224">
        <f t="shared" si="6"/>
        <v>0.54265417265061866</v>
      </c>
      <c r="I53" s="224">
        <f t="shared" si="7"/>
        <v>0.43968770944608038</v>
      </c>
      <c r="J53" s="5"/>
    </row>
    <row r="54" spans="1:10" ht="23.25" x14ac:dyDescent="0.2">
      <c r="A54" s="13">
        <v>11</v>
      </c>
      <c r="B54" s="14" t="s">
        <v>11</v>
      </c>
      <c r="C54" s="25" t="s">
        <v>37</v>
      </c>
      <c r="D54" s="195">
        <f>'SHEET-4'!D39/'SHEET-4'!D24*10^6</f>
        <v>492.9963837339194</v>
      </c>
      <c r="E54" s="195">
        <f>'SHEET-4'!E39/'SHEET-4'!E24*10^6</f>
        <v>1597.5690255616507</v>
      </c>
      <c r="F54" s="195">
        <f>'[7]SHEET-4'!F39/'[7]SHEET-4'!F24*10^6</f>
        <v>406.32425543222024</v>
      </c>
      <c r="G54" s="195">
        <f>'[7]SHEET-4'!G39/'[7]SHEET-4'!G24*10^6</f>
        <v>1402.8517025326651</v>
      </c>
      <c r="H54" s="224">
        <f t="shared" si="6"/>
        <v>0.21330778840535428</v>
      </c>
      <c r="I54" s="224">
        <f t="shared" si="7"/>
        <v>0.13880107403900857</v>
      </c>
      <c r="J54" s="5"/>
    </row>
    <row r="55" spans="1:10" ht="24" thickBot="1" x14ac:dyDescent="0.25">
      <c r="A55" s="15"/>
      <c r="B55" s="16" t="s">
        <v>12</v>
      </c>
      <c r="C55" s="26" t="s">
        <v>37</v>
      </c>
      <c r="D55" s="195">
        <f>'SHEET-4'!D40/'SHEET-4'!D25*10^6</f>
        <v>904.70558734697408</v>
      </c>
      <c r="E55" s="195">
        <f>'SHEET-4'!E40/'SHEET-4'!E25*10^6</f>
        <v>2801.765879979007</v>
      </c>
      <c r="F55" s="195">
        <f>'[7]SHEET-4'!F40/'[7]SHEET-4'!F25*10^6</f>
        <v>802.01678075784503</v>
      </c>
      <c r="G55" s="195">
        <f>'[7]SHEET-4'!G40/'[7]SHEET-4'!G25*10^6</f>
        <v>2522.9646495040874</v>
      </c>
      <c r="H55" s="224">
        <f t="shared" si="6"/>
        <v>0.12803822694594486</v>
      </c>
      <c r="I55" s="224">
        <f>(E55-G55)/G55</f>
        <v>0.11050540503202078</v>
      </c>
      <c r="J55" s="5"/>
    </row>
    <row r="56" spans="1:10" ht="23.25" x14ac:dyDescent="0.2">
      <c r="A56" s="8"/>
      <c r="B56" s="8"/>
      <c r="C56" s="8"/>
      <c r="D56" s="24"/>
      <c r="E56" s="24"/>
      <c r="F56" s="24"/>
      <c r="G56" s="44"/>
      <c r="H56" s="8"/>
      <c r="I56" s="8"/>
      <c r="J56" s="5"/>
    </row>
    <row r="57" spans="1:10" x14ac:dyDescent="0.2">
      <c r="A57" s="5"/>
      <c r="B57" s="5"/>
      <c r="C57" s="5"/>
      <c r="D57" s="5"/>
      <c r="E57" s="5"/>
      <c r="F57" s="5"/>
      <c r="G57" s="5"/>
      <c r="H57" s="5"/>
      <c r="I57" s="5"/>
      <c r="J57" s="5"/>
    </row>
    <row r="58" spans="1:10" ht="12.75" customHeight="1" x14ac:dyDescent="0.2">
      <c r="A58" s="318"/>
      <c r="B58" s="318"/>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2"/>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7"/>
      <c r="E64" s="27"/>
      <c r="F64" s="27"/>
      <c r="G64" s="27"/>
      <c r="H64" s="5"/>
      <c r="I64" s="5"/>
      <c r="J64" s="5"/>
    </row>
    <row r="65" spans="1:10" ht="23.25" x14ac:dyDescent="0.35">
      <c r="A65" s="13"/>
      <c r="B65" s="14"/>
      <c r="C65" s="25"/>
      <c r="D65" s="27"/>
      <c r="E65" s="27"/>
      <c r="F65" s="27"/>
      <c r="G65" s="27"/>
      <c r="H65" s="5"/>
      <c r="I65" s="5"/>
      <c r="J65" s="5"/>
    </row>
    <row r="66" spans="1:10" ht="23.25" x14ac:dyDescent="0.35">
      <c r="A66" s="13"/>
      <c r="B66" s="14"/>
      <c r="C66" s="25"/>
      <c r="D66" s="27"/>
      <c r="E66" s="27"/>
      <c r="F66" s="27"/>
      <c r="G66" s="27"/>
      <c r="H66" s="5"/>
      <c r="I66" s="5"/>
      <c r="J66" s="5"/>
    </row>
    <row r="67" spans="1:10" ht="23.25" x14ac:dyDescent="0.35">
      <c r="A67" s="13"/>
      <c r="B67" s="14"/>
      <c r="C67" s="25"/>
      <c r="D67" s="27"/>
      <c r="E67" s="27"/>
      <c r="F67" s="27"/>
      <c r="G67" s="27"/>
      <c r="H67" s="5"/>
      <c r="I67" s="5"/>
      <c r="J67" s="5"/>
    </row>
    <row r="68" spans="1:10" ht="23.25" x14ac:dyDescent="0.35">
      <c r="A68" s="13"/>
      <c r="B68" s="14"/>
      <c r="C68" s="25"/>
      <c r="D68" s="43">
        <f>3.8</f>
        <v>3.8</v>
      </c>
      <c r="E68" s="27"/>
      <c r="F68" s="27"/>
      <c r="G68" s="27"/>
      <c r="H68" s="5"/>
      <c r="I68" s="5"/>
      <c r="J68" s="5"/>
    </row>
    <row r="69" spans="1:10" ht="23.25" x14ac:dyDescent="0.35">
      <c r="A69" s="13"/>
      <c r="B69" s="14"/>
      <c r="C69" s="25"/>
      <c r="D69" s="43">
        <v>4.25</v>
      </c>
      <c r="E69" s="27"/>
      <c r="F69" s="27"/>
      <c r="G69" s="27"/>
    </row>
    <row r="70" spans="1:10" ht="23.25" x14ac:dyDescent="0.35">
      <c r="A70" s="13"/>
      <c r="B70" s="14"/>
      <c r="C70" s="25"/>
      <c r="D70" s="43">
        <v>4.55</v>
      </c>
      <c r="E70" s="27"/>
      <c r="F70" s="27"/>
      <c r="G70" s="27"/>
    </row>
    <row r="71" spans="1:10" ht="23.25" x14ac:dyDescent="0.35">
      <c r="A71" s="13"/>
      <c r="B71" s="14"/>
      <c r="C71" s="25"/>
      <c r="D71" s="43">
        <v>4.5999999999999996</v>
      </c>
      <c r="E71" s="27"/>
      <c r="F71" s="27"/>
      <c r="G71" s="27"/>
    </row>
    <row r="72" spans="1:10" ht="23.25" x14ac:dyDescent="0.35">
      <c r="A72" s="13"/>
      <c r="B72" s="14"/>
      <c r="C72" s="25"/>
      <c r="D72" s="27"/>
      <c r="E72" s="27"/>
      <c r="F72" s="27"/>
      <c r="G72" s="27"/>
    </row>
    <row r="73" spans="1:10" ht="23.25" x14ac:dyDescent="0.35">
      <c r="A73" s="13"/>
      <c r="B73" s="14"/>
      <c r="C73" s="25"/>
      <c r="D73" s="27"/>
      <c r="E73" s="27"/>
      <c r="F73" s="27"/>
      <c r="G73" s="27"/>
    </row>
    <row r="74" spans="1:10" ht="23.25" x14ac:dyDescent="0.35">
      <c r="A74" s="13"/>
      <c r="B74" s="14"/>
      <c r="C74" s="25"/>
      <c r="D74" s="27"/>
      <c r="E74" s="27"/>
      <c r="F74" s="27"/>
      <c r="G74" s="27"/>
    </row>
    <row r="75" spans="1:10" ht="24" thickBot="1" x14ac:dyDescent="0.4">
      <c r="A75" s="15"/>
      <c r="B75" s="16"/>
      <c r="C75" s="26"/>
      <c r="D75" s="27"/>
      <c r="E75" s="27"/>
      <c r="F75" s="27"/>
      <c r="G75" s="27"/>
    </row>
    <row r="76" spans="1:10" ht="23.25" x14ac:dyDescent="0.35">
      <c r="D76" s="28"/>
      <c r="E76" s="28"/>
      <c r="F76" s="28"/>
      <c r="G76" s="28"/>
    </row>
  </sheetData>
  <mergeCells count="29">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F34:F35"/>
    <mergeCell ref="G34:G35"/>
    <mergeCell ref="F19:F20"/>
    <mergeCell ref="G19:G20"/>
    <mergeCell ref="A5:I5"/>
    <mergeCell ref="A9:I9"/>
    <mergeCell ref="A7:I7"/>
    <mergeCell ref="H11:I11"/>
    <mergeCell ref="D11:E11"/>
    <mergeCell ref="F11:G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topLeftCell="A4" zoomScale="60" zoomScaleNormal="60" workbookViewId="0">
      <selection activeCell="G23" sqref="G23"/>
    </sheetView>
  </sheetViews>
  <sheetFormatPr defaultColWidth="9.140625" defaultRowHeight="12.75" x14ac:dyDescent="0.2"/>
  <cols>
    <col min="1" max="1" width="8" style="81" customWidth="1"/>
    <col min="2" max="2" width="67" style="81" customWidth="1"/>
    <col min="3" max="3" width="49.5703125" style="81" customWidth="1"/>
    <col min="4" max="4" width="50.42578125" style="81" customWidth="1"/>
    <col min="5" max="5" width="24.7109375" style="81" customWidth="1"/>
    <col min="6" max="10" width="9.140625" style="81"/>
    <col min="11" max="12" width="13" style="81" bestFit="1" customWidth="1"/>
    <col min="13" max="13" width="17.5703125" style="81" bestFit="1" customWidth="1"/>
    <col min="14" max="16384" width="9.140625" style="81"/>
  </cols>
  <sheetData>
    <row r="1" spans="1:7" ht="33" x14ac:dyDescent="0.2">
      <c r="E1" s="82" t="s">
        <v>227</v>
      </c>
    </row>
    <row r="4" spans="1:7" ht="37.5" x14ac:dyDescent="0.6">
      <c r="A4" s="326" t="s">
        <v>0</v>
      </c>
      <c r="B4" s="326"/>
      <c r="C4" s="326"/>
      <c r="D4" s="326"/>
      <c r="E4" s="326"/>
    </row>
    <row r="5" spans="1:7" ht="18" customHeight="1" x14ac:dyDescent="0.4">
      <c r="A5" s="83"/>
      <c r="B5" s="83"/>
      <c r="C5" s="83"/>
    </row>
    <row r="6" spans="1:7" ht="30" x14ac:dyDescent="0.2">
      <c r="A6" s="327" t="s">
        <v>99</v>
      </c>
      <c r="B6" s="327"/>
      <c r="C6" s="327"/>
      <c r="D6" s="327"/>
      <c r="E6" s="327"/>
    </row>
    <row r="7" spans="1:7" ht="18" customHeight="1" thickBot="1" x14ac:dyDescent="0.25"/>
    <row r="8" spans="1:7" ht="18" customHeight="1" x14ac:dyDescent="0.2">
      <c r="A8" s="84"/>
      <c r="B8" s="85"/>
      <c r="C8" s="123" t="s">
        <v>105</v>
      </c>
      <c r="D8" s="123" t="s">
        <v>66</v>
      </c>
      <c r="E8" s="124" t="s">
        <v>17</v>
      </c>
    </row>
    <row r="9" spans="1:7" ht="18" customHeight="1" x14ac:dyDescent="0.2">
      <c r="A9" s="86"/>
      <c r="B9" s="46"/>
      <c r="C9" s="213" t="s">
        <v>236</v>
      </c>
      <c r="D9" s="212" t="s">
        <v>237</v>
      </c>
      <c r="E9" s="29"/>
    </row>
    <row r="10" spans="1:7" ht="20.25" x14ac:dyDescent="0.2">
      <c r="A10" s="86" t="s">
        <v>38</v>
      </c>
      <c r="B10" s="88" t="s">
        <v>84</v>
      </c>
      <c r="C10" s="141" t="s">
        <v>62</v>
      </c>
      <c r="D10" s="145" t="s">
        <v>62</v>
      </c>
      <c r="E10" s="125"/>
    </row>
    <row r="11" spans="1:7" ht="23.25" x14ac:dyDescent="0.2">
      <c r="A11" s="86">
        <v>1</v>
      </c>
      <c r="B11" s="88" t="s">
        <v>85</v>
      </c>
      <c r="C11" s="142">
        <f>+'SHEET-3'!E26</f>
        <v>6909.79</v>
      </c>
      <c r="D11" s="218">
        <f>5533.52-111.24*0</f>
        <v>5533.52</v>
      </c>
      <c r="E11" s="162">
        <f>(C11-D11)/D11</f>
        <v>0.24871510358686685</v>
      </c>
    </row>
    <row r="12" spans="1:7" ht="23.25" x14ac:dyDescent="0.25">
      <c r="A12" s="86">
        <v>2</v>
      </c>
      <c r="B12" s="88" t="s">
        <v>86</v>
      </c>
      <c r="C12" s="142">
        <f>+'SHEET-3'!E28</f>
        <v>53.99</v>
      </c>
      <c r="D12" s="218">
        <f>182.34-58.74</f>
        <v>123.6</v>
      </c>
      <c r="E12" s="162">
        <f>(C12-D12)/D12</f>
        <v>-0.56318770226537207</v>
      </c>
      <c r="F12" s="182"/>
      <c r="G12" s="192"/>
    </row>
    <row r="13" spans="1:7" ht="23.25" x14ac:dyDescent="0.2">
      <c r="A13" s="86">
        <v>3</v>
      </c>
      <c r="B13" s="88" t="s">
        <v>126</v>
      </c>
      <c r="C13" s="142">
        <v>51.59</v>
      </c>
      <c r="D13" s="218">
        <v>58.74</v>
      </c>
      <c r="E13" s="162">
        <f>(C13-D13)/D13</f>
        <v>-0.12172284644194754</v>
      </c>
    </row>
    <row r="14" spans="1:7" ht="23.25" x14ac:dyDescent="0.2">
      <c r="A14" s="86">
        <v>4</v>
      </c>
      <c r="B14" s="88" t="s">
        <v>87</v>
      </c>
      <c r="C14" s="142">
        <v>215.87</v>
      </c>
      <c r="D14" s="218">
        <v>103.01</v>
      </c>
      <c r="E14" s="162">
        <f>(C14-D14)/D14</f>
        <v>1.0956217842927871</v>
      </c>
    </row>
    <row r="15" spans="1:7" ht="23.25" x14ac:dyDescent="0.2">
      <c r="A15" s="86">
        <v>5</v>
      </c>
      <c r="B15" s="88" t="s">
        <v>120</v>
      </c>
      <c r="C15" s="142">
        <f>SUM(C11:C14)</f>
        <v>7231.24</v>
      </c>
      <c r="D15" s="218">
        <f>SUM(D11:D14)</f>
        <v>5818.8700000000008</v>
      </c>
      <c r="E15" s="162">
        <f>(C15-D15)/D15</f>
        <v>0.24272238424298856</v>
      </c>
    </row>
    <row r="16" spans="1:7" ht="17.25" customHeight="1" x14ac:dyDescent="0.2">
      <c r="A16" s="86"/>
      <c r="B16" s="88"/>
      <c r="C16" s="142"/>
      <c r="D16" s="218"/>
      <c r="E16" s="144"/>
    </row>
    <row r="17" spans="1:11" ht="23.25" customHeight="1" x14ac:dyDescent="0.2">
      <c r="A17" s="86" t="s">
        <v>6</v>
      </c>
      <c r="B17" s="88" t="s">
        <v>88</v>
      </c>
      <c r="C17" s="146"/>
      <c r="D17" s="251"/>
      <c r="E17" s="144"/>
    </row>
    <row r="18" spans="1:11" ht="23.25" x14ac:dyDescent="0.2">
      <c r="A18" s="86"/>
      <c r="B18" s="88" t="s">
        <v>89</v>
      </c>
      <c r="C18" s="146"/>
      <c r="D18" s="251"/>
      <c r="E18" s="144"/>
      <c r="K18" s="81" t="s">
        <v>128</v>
      </c>
    </row>
    <row r="19" spans="1:11" ht="18" customHeight="1" x14ac:dyDescent="0.2">
      <c r="A19" s="86">
        <v>1</v>
      </c>
      <c r="B19" s="88" t="s">
        <v>109</v>
      </c>
      <c r="C19" s="321">
        <v>6570.39</v>
      </c>
      <c r="D19" s="311">
        <f>4964.53-111.24*0</f>
        <v>4964.53</v>
      </c>
      <c r="E19" s="381">
        <f>(C19-D19)/D19</f>
        <v>0.32346667257524897</v>
      </c>
    </row>
    <row r="20" spans="1:11" ht="18" customHeight="1" x14ac:dyDescent="0.2">
      <c r="A20" s="86">
        <v>2</v>
      </c>
      <c r="B20" s="88" t="s">
        <v>90</v>
      </c>
      <c r="C20" s="325"/>
      <c r="D20" s="312"/>
      <c r="E20" s="382"/>
    </row>
    <row r="21" spans="1:11" ht="18" customHeight="1" x14ac:dyDescent="0.2">
      <c r="A21" s="86">
        <v>3</v>
      </c>
      <c r="B21" s="88" t="s">
        <v>91</v>
      </c>
      <c r="C21" s="322"/>
      <c r="D21" s="313"/>
      <c r="E21" s="383"/>
    </row>
    <row r="22" spans="1:11" ht="23.25" x14ac:dyDescent="0.2">
      <c r="A22" s="86">
        <v>4</v>
      </c>
      <c r="B22" s="88" t="s">
        <v>92</v>
      </c>
      <c r="C22" s="163"/>
      <c r="D22" s="218"/>
      <c r="E22" s="162">
        <v>0</v>
      </c>
    </row>
    <row r="23" spans="1:11" ht="25.5" customHeight="1" x14ac:dyDescent="0.2">
      <c r="A23" s="86">
        <v>5</v>
      </c>
      <c r="B23" s="88" t="s">
        <v>93</v>
      </c>
      <c r="C23" s="163">
        <f>+'SHEET-3'!E16</f>
        <v>450.16</v>
      </c>
      <c r="D23" s="218">
        <v>434.99</v>
      </c>
      <c r="E23" s="162">
        <f>(C23-D23)/D23</f>
        <v>3.4874364927929412E-2</v>
      </c>
    </row>
    <row r="24" spans="1:11" ht="23.25" x14ac:dyDescent="0.2">
      <c r="A24" s="86">
        <v>6</v>
      </c>
      <c r="B24" s="88" t="s">
        <v>27</v>
      </c>
      <c r="C24" s="163">
        <f>+'SHEET-3'!E18</f>
        <v>61.28</v>
      </c>
      <c r="D24" s="218">
        <v>59.9</v>
      </c>
      <c r="E24" s="162">
        <f>(C24-D24)/D24</f>
        <v>2.3038397328881511E-2</v>
      </c>
    </row>
    <row r="25" spans="1:11" ht="23.25" x14ac:dyDescent="0.2">
      <c r="A25" s="86">
        <v>7</v>
      </c>
      <c r="B25" s="88" t="s">
        <v>94</v>
      </c>
      <c r="C25" s="163">
        <v>71.19</v>
      </c>
      <c r="D25" s="218">
        <v>63.13</v>
      </c>
      <c r="E25" s="162">
        <f>(C25-D25)/D25</f>
        <v>0.12767305559955638</v>
      </c>
    </row>
    <row r="26" spans="1:11" ht="23.25" x14ac:dyDescent="0.2">
      <c r="A26" s="86">
        <v>8</v>
      </c>
      <c r="B26" s="88" t="s">
        <v>95</v>
      </c>
      <c r="C26" s="163">
        <f>+'SHEET-3'!E22</f>
        <v>39.46</v>
      </c>
      <c r="D26" s="218">
        <v>25.97</v>
      </c>
      <c r="E26" s="210">
        <f>(C26-D26)/D26</f>
        <v>0.51944551405467854</v>
      </c>
    </row>
    <row r="27" spans="1:11" ht="12.75" customHeight="1" x14ac:dyDescent="0.2">
      <c r="A27" s="86"/>
      <c r="B27" s="88"/>
      <c r="C27" s="163"/>
      <c r="D27" s="218"/>
      <c r="E27" s="144"/>
    </row>
    <row r="28" spans="1:11" ht="23.25" x14ac:dyDescent="0.2">
      <c r="A28" s="86">
        <v>9</v>
      </c>
      <c r="B28" s="88" t="s">
        <v>28</v>
      </c>
      <c r="C28" s="163">
        <f>+'SHEET-3'!E19</f>
        <v>210.41</v>
      </c>
      <c r="D28" s="218">
        <v>201.44</v>
      </c>
      <c r="E28" s="162">
        <f t="shared" ref="E28:E33" si="0">(C28-D28)/D28</f>
        <v>4.4529388403494831E-2</v>
      </c>
    </row>
    <row r="29" spans="1:11" ht="27" customHeight="1" x14ac:dyDescent="0.2">
      <c r="A29" s="86">
        <v>10</v>
      </c>
      <c r="B29" s="88" t="s">
        <v>26</v>
      </c>
      <c r="C29" s="163">
        <f>+'SHEET-3'!E17</f>
        <v>36.43</v>
      </c>
      <c r="D29" s="218">
        <v>40.06</v>
      </c>
      <c r="E29" s="162">
        <f t="shared" si="0"/>
        <v>-9.0614078881677537E-2</v>
      </c>
    </row>
    <row r="30" spans="1:11" ht="23.25" x14ac:dyDescent="0.2">
      <c r="A30" s="86">
        <v>11</v>
      </c>
      <c r="B30" s="88" t="s">
        <v>96</v>
      </c>
      <c r="C30" s="163">
        <v>0</v>
      </c>
      <c r="D30" s="218">
        <v>0</v>
      </c>
      <c r="E30" s="162" t="e">
        <f t="shared" si="0"/>
        <v>#DIV/0!</v>
      </c>
    </row>
    <row r="31" spans="1:11" ht="23.25" x14ac:dyDescent="0.2">
      <c r="A31" s="86">
        <v>12</v>
      </c>
      <c r="B31" s="88" t="s">
        <v>230</v>
      </c>
      <c r="C31" s="163">
        <f>+'SHEET-3'!E22*0</f>
        <v>0</v>
      </c>
      <c r="D31" s="218">
        <v>0</v>
      </c>
      <c r="E31" s="162">
        <v>0</v>
      </c>
    </row>
    <row r="32" spans="1:11" ht="23.25" x14ac:dyDescent="0.2">
      <c r="A32" s="86">
        <v>13</v>
      </c>
      <c r="B32" s="88" t="s">
        <v>97</v>
      </c>
      <c r="C32" s="163">
        <v>0</v>
      </c>
      <c r="D32" s="218">
        <v>-27.2</v>
      </c>
      <c r="E32" s="162"/>
    </row>
    <row r="33" spans="1:13" ht="23.25" x14ac:dyDescent="0.2">
      <c r="A33" s="86">
        <v>14</v>
      </c>
      <c r="B33" s="88" t="s">
        <v>231</v>
      </c>
      <c r="C33" s="22">
        <f>SUM(C19:C32)</f>
        <v>7439.32</v>
      </c>
      <c r="D33" s="219">
        <f>SUM(D19:D32)</f>
        <v>5762.82</v>
      </c>
      <c r="E33" s="162">
        <f t="shared" si="0"/>
        <v>0.29091659985909679</v>
      </c>
    </row>
    <row r="34" spans="1:13" ht="15" customHeight="1" x14ac:dyDescent="0.2">
      <c r="A34" s="86"/>
      <c r="B34" s="88"/>
      <c r="C34" s="22"/>
      <c r="D34" s="219"/>
      <c r="E34" s="170" t="s">
        <v>232</v>
      </c>
    </row>
    <row r="35" spans="1:13" ht="48" customHeight="1" x14ac:dyDescent="0.3">
      <c r="A35" s="86" t="s">
        <v>45</v>
      </c>
      <c r="B35" s="88" t="s">
        <v>98</v>
      </c>
      <c r="C35" s="218">
        <f>C15-C33</f>
        <v>-208.07999999999993</v>
      </c>
      <c r="D35" s="218">
        <f>D15-D33</f>
        <v>56.050000000001091</v>
      </c>
      <c r="E35" s="162">
        <f>(C35-D35)/D35</f>
        <v>-4.7123996431756625</v>
      </c>
      <c r="F35" s="92"/>
      <c r="K35" s="126"/>
      <c r="L35" s="126"/>
      <c r="M35" s="127"/>
    </row>
    <row r="36" spans="1:13" ht="23.25" x14ac:dyDescent="0.2">
      <c r="A36" s="86"/>
      <c r="B36" s="88"/>
      <c r="C36" s="20"/>
      <c r="D36" s="20"/>
      <c r="E36" s="131"/>
    </row>
    <row r="37" spans="1:13" ht="23.25" customHeight="1" thickBot="1" x14ac:dyDescent="0.25">
      <c r="A37" s="384" t="s">
        <v>127</v>
      </c>
      <c r="B37" s="385"/>
      <c r="C37" s="385"/>
      <c r="D37" s="385"/>
      <c r="E37" s="386"/>
    </row>
    <row r="40" spans="1:13" ht="12.75" customHeight="1" x14ac:dyDescent="0.2">
      <c r="A40" s="318"/>
      <c r="B40" s="318"/>
    </row>
    <row r="41" spans="1:13" x14ac:dyDescent="0.2">
      <c r="D41" s="92"/>
    </row>
    <row r="44" spans="1:13" ht="20.100000000000001" customHeight="1" x14ac:dyDescent="0.3">
      <c r="C44" s="23"/>
      <c r="D44" s="23"/>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3"/>
      <c r="D49" s="128"/>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32"/>
  <sheetViews>
    <sheetView view="pageBreakPreview" zoomScale="115" zoomScaleSheetLayoutView="115" workbookViewId="0">
      <selection activeCell="N23" sqref="N23"/>
    </sheetView>
  </sheetViews>
  <sheetFormatPr defaultRowHeight="12.75" x14ac:dyDescent="0.2"/>
  <cols>
    <col min="1" max="1" width="1.5703125" style="252" customWidth="1"/>
    <col min="2" max="2" width="9.140625" style="252" customWidth="1"/>
    <col min="3" max="3" width="12.28515625" style="252" customWidth="1"/>
    <col min="4" max="4" width="9.140625" style="252" customWidth="1"/>
    <col min="5" max="5" width="14.7109375" style="252" customWidth="1"/>
    <col min="6" max="6" width="9.140625" style="252" customWidth="1"/>
    <col min="7" max="7" width="2" style="252" customWidth="1"/>
    <col min="8" max="8" width="9.140625" style="252"/>
    <col min="9" max="9" width="14.7109375" style="252" customWidth="1"/>
    <col min="10" max="10" width="9.140625" style="252"/>
    <col min="11" max="11" width="14.5703125" style="252" customWidth="1"/>
    <col min="12" max="12" width="16.42578125" style="252" customWidth="1"/>
    <col min="13" max="16384" width="9.140625" style="252"/>
  </cols>
  <sheetData>
    <row r="1" spans="2:12" ht="24.75" customHeight="1" thickBot="1" x14ac:dyDescent="0.25">
      <c r="B1" s="403" t="s">
        <v>241</v>
      </c>
      <c r="C1" s="404"/>
      <c r="D1" s="404"/>
      <c r="E1" s="404"/>
      <c r="F1" s="404"/>
      <c r="G1" s="404"/>
      <c r="H1" s="404"/>
      <c r="I1" s="404"/>
      <c r="J1" s="404"/>
      <c r="K1" s="404"/>
      <c r="L1" s="405"/>
    </row>
    <row r="2" spans="2:12" ht="9" customHeight="1" x14ac:dyDescent="0.2">
      <c r="B2" s="253"/>
      <c r="C2" s="253"/>
      <c r="D2" s="253"/>
      <c r="E2" s="253"/>
      <c r="F2" s="253"/>
      <c r="G2" s="253"/>
      <c r="H2" s="253"/>
      <c r="I2" s="253"/>
      <c r="J2" s="253"/>
      <c r="K2" s="253"/>
      <c r="L2" s="253"/>
    </row>
    <row r="3" spans="2:12" ht="21.75" customHeight="1" thickBot="1" x14ac:dyDescent="0.25">
      <c r="B3" s="406" t="s">
        <v>242</v>
      </c>
      <c r="C3" s="407"/>
      <c r="D3" s="407"/>
      <c r="E3" s="407"/>
      <c r="F3" s="407"/>
      <c r="G3" s="407"/>
      <c r="H3" s="407"/>
      <c r="I3" s="407"/>
      <c r="J3" s="407"/>
      <c r="K3" s="407"/>
      <c r="L3" s="408"/>
    </row>
    <row r="4" spans="2:12" ht="27.75" customHeight="1" x14ac:dyDescent="0.2">
      <c r="B4" s="398" t="s">
        <v>199</v>
      </c>
      <c r="C4" s="399" t="s">
        <v>243</v>
      </c>
      <c r="D4" s="399" t="s">
        <v>244</v>
      </c>
      <c r="E4" s="399"/>
      <c r="F4" s="399"/>
      <c r="G4" s="254"/>
      <c r="H4" s="399" t="s">
        <v>245</v>
      </c>
      <c r="I4" s="399"/>
      <c r="J4" s="399"/>
      <c r="K4" s="399" t="s">
        <v>246</v>
      </c>
      <c r="L4" s="401" t="s">
        <v>247</v>
      </c>
    </row>
    <row r="5" spans="2:12" ht="68.25" customHeight="1" x14ac:dyDescent="0.2">
      <c r="B5" s="387"/>
      <c r="C5" s="400"/>
      <c r="D5" s="255" t="s">
        <v>248</v>
      </c>
      <c r="E5" s="255" t="s">
        <v>249</v>
      </c>
      <c r="F5" s="255" t="s">
        <v>250</v>
      </c>
      <c r="G5" s="256"/>
      <c r="H5" s="255" t="s">
        <v>248</v>
      </c>
      <c r="I5" s="255" t="s">
        <v>251</v>
      </c>
      <c r="J5" s="255" t="s">
        <v>250</v>
      </c>
      <c r="K5" s="400"/>
      <c r="L5" s="402"/>
    </row>
    <row r="6" spans="2:12" s="262" customFormat="1" ht="21" customHeight="1" x14ac:dyDescent="0.2">
      <c r="B6" s="395" t="s">
        <v>252</v>
      </c>
      <c r="C6" s="257" t="s">
        <v>253</v>
      </c>
      <c r="D6" s="258">
        <v>37</v>
      </c>
      <c r="E6" s="259">
        <v>0</v>
      </c>
      <c r="F6" s="260">
        <v>1.2175220492848551</v>
      </c>
      <c r="G6" s="261"/>
      <c r="H6" s="258">
        <v>33</v>
      </c>
      <c r="I6" s="259">
        <v>3</v>
      </c>
      <c r="J6" s="260">
        <v>2.5126013761389796</v>
      </c>
      <c r="K6" s="257">
        <v>0</v>
      </c>
      <c r="L6" s="389" t="s">
        <v>254</v>
      </c>
    </row>
    <row r="7" spans="2:12" s="262" customFormat="1" ht="21" customHeight="1" x14ac:dyDescent="0.2">
      <c r="B7" s="396"/>
      <c r="C7" s="257" t="s">
        <v>255</v>
      </c>
      <c r="D7" s="258">
        <v>16</v>
      </c>
      <c r="E7" s="259">
        <v>0</v>
      </c>
      <c r="F7" s="260">
        <v>1.3336534420318567</v>
      </c>
      <c r="G7" s="261"/>
      <c r="H7" s="258">
        <v>16</v>
      </c>
      <c r="I7" s="259">
        <v>0</v>
      </c>
      <c r="J7" s="260">
        <v>1.3348894577567039</v>
      </c>
      <c r="K7" s="257">
        <v>0</v>
      </c>
      <c r="L7" s="390"/>
    </row>
    <row r="8" spans="2:12" s="262" customFormat="1" ht="21" customHeight="1" x14ac:dyDescent="0.2">
      <c r="B8" s="396"/>
      <c r="C8" s="257" t="s">
        <v>256</v>
      </c>
      <c r="D8" s="258">
        <v>17</v>
      </c>
      <c r="E8" s="259">
        <v>0</v>
      </c>
      <c r="F8" s="260">
        <v>0.61540533457812396</v>
      </c>
      <c r="G8" s="261"/>
      <c r="H8" s="258">
        <v>17</v>
      </c>
      <c r="I8" s="259">
        <v>0</v>
      </c>
      <c r="J8" s="260">
        <v>1.9882164626509646</v>
      </c>
      <c r="K8" s="257">
        <v>0</v>
      </c>
      <c r="L8" s="390"/>
    </row>
    <row r="9" spans="2:12" s="262" customFormat="1" ht="21" customHeight="1" x14ac:dyDescent="0.2">
      <c r="B9" s="396"/>
      <c r="C9" s="257" t="s">
        <v>257</v>
      </c>
      <c r="D9" s="258">
        <v>1</v>
      </c>
      <c r="E9" s="259">
        <v>0</v>
      </c>
      <c r="F9" s="260">
        <v>0.68750760695084878</v>
      </c>
      <c r="G9" s="261"/>
      <c r="H9" s="258">
        <v>1</v>
      </c>
      <c r="I9" s="259">
        <v>0</v>
      </c>
      <c r="J9" s="260">
        <v>1.1507141287065432</v>
      </c>
      <c r="K9" s="257">
        <v>0</v>
      </c>
      <c r="L9" s="390"/>
    </row>
    <row r="10" spans="2:12" s="262" customFormat="1" ht="21" customHeight="1" x14ac:dyDescent="0.2">
      <c r="B10" s="396"/>
      <c r="C10" s="257" t="s">
        <v>258</v>
      </c>
      <c r="D10" s="258">
        <v>17</v>
      </c>
      <c r="E10" s="259" t="s">
        <v>259</v>
      </c>
      <c r="F10" s="260">
        <v>2.3709344285924163</v>
      </c>
      <c r="G10" s="261"/>
      <c r="H10" s="258">
        <v>17</v>
      </c>
      <c r="I10" s="259">
        <v>0</v>
      </c>
      <c r="J10" s="260">
        <v>1.224972512514126</v>
      </c>
      <c r="K10" s="257">
        <v>0</v>
      </c>
      <c r="L10" s="390"/>
    </row>
    <row r="11" spans="2:12" s="262" customFormat="1" ht="21" customHeight="1" x14ac:dyDescent="0.2">
      <c r="B11" s="396"/>
      <c r="C11" s="263" t="s">
        <v>260</v>
      </c>
      <c r="D11" s="264">
        <f>SUM(D6:D10)</f>
        <v>88</v>
      </c>
      <c r="E11" s="264">
        <f>SUM(E6:E10)</f>
        <v>0</v>
      </c>
      <c r="F11" s="265">
        <v>1.3910685957105198</v>
      </c>
      <c r="G11" s="266"/>
      <c r="H11" s="264">
        <v>84</v>
      </c>
      <c r="I11" s="264">
        <v>3</v>
      </c>
      <c r="J11" s="265">
        <v>1.9771135683308212</v>
      </c>
      <c r="K11" s="267">
        <f>SUM(K6:K10)</f>
        <v>0</v>
      </c>
      <c r="L11" s="390"/>
    </row>
    <row r="12" spans="2:12" s="270" customFormat="1" ht="12.75" customHeight="1" thickBot="1" x14ac:dyDescent="0.25">
      <c r="B12" s="397"/>
      <c r="C12" s="268"/>
      <c r="D12" s="392" t="s">
        <v>261</v>
      </c>
      <c r="E12" s="393"/>
      <c r="F12" s="394"/>
      <c r="G12" s="256"/>
      <c r="H12" s="392"/>
      <c r="I12" s="393"/>
      <c r="J12" s="394"/>
      <c r="K12" s="269"/>
      <c r="L12" s="391"/>
    </row>
    <row r="13" spans="2:12" s="262" customFormat="1" ht="27.75" customHeight="1" x14ac:dyDescent="0.2">
      <c r="B13" s="398" t="s">
        <v>199</v>
      </c>
      <c r="C13" s="399" t="s">
        <v>243</v>
      </c>
      <c r="D13" s="399" t="str">
        <f>D4</f>
        <v>Q-III-Oct to Dec-22</v>
      </c>
      <c r="E13" s="399"/>
      <c r="F13" s="399"/>
      <c r="G13" s="254"/>
      <c r="H13" s="399" t="str">
        <f>H4</f>
        <v>Q-III-Oct to Dec-21</v>
      </c>
      <c r="I13" s="399"/>
      <c r="J13" s="399"/>
      <c r="K13" s="399" t="s">
        <v>262</v>
      </c>
      <c r="L13" s="401" t="s">
        <v>247</v>
      </c>
    </row>
    <row r="14" spans="2:12" ht="79.5" customHeight="1" x14ac:dyDescent="0.2">
      <c r="B14" s="387"/>
      <c r="C14" s="400"/>
      <c r="D14" s="255" t="s">
        <v>248</v>
      </c>
      <c r="E14" s="255" t="s">
        <v>263</v>
      </c>
      <c r="F14" s="255" t="s">
        <v>250</v>
      </c>
      <c r="G14" s="256"/>
      <c r="H14" s="255" t="s">
        <v>248</v>
      </c>
      <c r="I14" s="255" t="s">
        <v>264</v>
      </c>
      <c r="J14" s="255" t="s">
        <v>250</v>
      </c>
      <c r="K14" s="400"/>
      <c r="L14" s="402"/>
    </row>
    <row r="15" spans="2:12" s="262" customFormat="1" ht="21" customHeight="1" x14ac:dyDescent="0.2">
      <c r="B15" s="395" t="s">
        <v>265</v>
      </c>
      <c r="C15" s="257" t="s">
        <v>253</v>
      </c>
      <c r="D15" s="258">
        <v>20</v>
      </c>
      <c r="E15" s="259">
        <v>0</v>
      </c>
      <c r="F15" s="260">
        <v>3.862781059687391</v>
      </c>
      <c r="G15" s="261"/>
      <c r="H15" s="258">
        <v>19</v>
      </c>
      <c r="I15" s="259">
        <v>0</v>
      </c>
      <c r="J15" s="260">
        <v>4.7271865308391456</v>
      </c>
      <c r="K15" s="257">
        <v>0</v>
      </c>
      <c r="L15" s="389" t="s">
        <v>254</v>
      </c>
    </row>
    <row r="16" spans="2:12" s="262" customFormat="1" ht="21" customHeight="1" x14ac:dyDescent="0.2">
      <c r="B16" s="396"/>
      <c r="C16" s="257" t="s">
        <v>255</v>
      </c>
      <c r="D16" s="258">
        <v>276</v>
      </c>
      <c r="E16" s="259">
        <v>0</v>
      </c>
      <c r="F16" s="260">
        <v>3.7808681455177502</v>
      </c>
      <c r="G16" s="261"/>
      <c r="H16" s="258">
        <v>260</v>
      </c>
      <c r="I16" s="259">
        <v>0</v>
      </c>
      <c r="J16" s="260">
        <v>3.4180243095641059</v>
      </c>
      <c r="K16" s="257">
        <v>0</v>
      </c>
      <c r="L16" s="390"/>
    </row>
    <row r="17" spans="2:12" s="262" customFormat="1" ht="21" customHeight="1" x14ac:dyDescent="0.2">
      <c r="B17" s="396"/>
      <c r="C17" s="257" t="s">
        <v>256</v>
      </c>
      <c r="D17" s="258">
        <v>48</v>
      </c>
      <c r="E17" s="259">
        <v>0</v>
      </c>
      <c r="F17" s="260">
        <v>3.1467023928287299</v>
      </c>
      <c r="G17" s="261"/>
      <c r="H17" s="258">
        <v>47</v>
      </c>
      <c r="I17" s="259">
        <v>0</v>
      </c>
      <c r="J17" s="260">
        <v>4.8731674668247429</v>
      </c>
      <c r="K17" s="257">
        <v>0</v>
      </c>
      <c r="L17" s="390"/>
    </row>
    <row r="18" spans="2:12" s="262" customFormat="1" ht="21" customHeight="1" x14ac:dyDescent="0.2">
      <c r="B18" s="396"/>
      <c r="C18" s="257" t="s">
        <v>257</v>
      </c>
      <c r="D18" s="258">
        <v>42</v>
      </c>
      <c r="E18" s="259">
        <v>0</v>
      </c>
      <c r="F18" s="260">
        <v>5.7696657452566278</v>
      </c>
      <c r="G18" s="261"/>
      <c r="H18" s="258">
        <v>39</v>
      </c>
      <c r="I18" s="259">
        <v>0</v>
      </c>
      <c r="J18" s="260">
        <v>6.6899269177497249</v>
      </c>
      <c r="K18" s="257">
        <v>0</v>
      </c>
      <c r="L18" s="390"/>
    </row>
    <row r="19" spans="2:12" s="262" customFormat="1" ht="21" customHeight="1" x14ac:dyDescent="0.2">
      <c r="B19" s="396"/>
      <c r="C19" s="257" t="s">
        <v>258</v>
      </c>
      <c r="D19" s="258">
        <v>48</v>
      </c>
      <c r="E19" s="259">
        <v>5</v>
      </c>
      <c r="F19" s="260">
        <v>16.58786321465157</v>
      </c>
      <c r="G19" s="261"/>
      <c r="H19" s="258">
        <v>46</v>
      </c>
      <c r="I19" s="259">
        <v>6</v>
      </c>
      <c r="J19" s="260">
        <v>15.119514232801176</v>
      </c>
      <c r="K19" s="257">
        <v>1</v>
      </c>
      <c r="L19" s="390"/>
    </row>
    <row r="20" spans="2:12" s="262" customFormat="1" ht="21" customHeight="1" x14ac:dyDescent="0.2">
      <c r="B20" s="396"/>
      <c r="C20" s="271" t="s">
        <v>260</v>
      </c>
      <c r="D20" s="264">
        <f>SUM(D15:D19)</f>
        <v>434</v>
      </c>
      <c r="E20" s="264">
        <f>SUM(E15:E19)</f>
        <v>5</v>
      </c>
      <c r="F20" s="272">
        <v>5.5943585390696295</v>
      </c>
      <c r="G20" s="266"/>
      <c r="H20" s="264">
        <v>411</v>
      </c>
      <c r="I20" s="264">
        <v>6</v>
      </c>
      <c r="J20" s="272">
        <v>5.5532540984598207</v>
      </c>
      <c r="K20" s="255">
        <f>SUM(K15:K19)</f>
        <v>1</v>
      </c>
      <c r="L20" s="390"/>
    </row>
    <row r="21" spans="2:12" s="270" customFormat="1" ht="14.25" customHeight="1" thickBot="1" x14ac:dyDescent="0.25">
      <c r="B21" s="397"/>
      <c r="C21" s="273"/>
      <c r="D21" s="392"/>
      <c r="E21" s="393"/>
      <c r="F21" s="394"/>
      <c r="G21" s="274"/>
      <c r="H21" s="392"/>
      <c r="I21" s="393"/>
      <c r="J21" s="394"/>
      <c r="K21" s="269"/>
      <c r="L21" s="391"/>
    </row>
    <row r="22" spans="2:12" s="262" customFormat="1" ht="27.75" customHeight="1" x14ac:dyDescent="0.2">
      <c r="B22" s="398" t="s">
        <v>199</v>
      </c>
      <c r="C22" s="399" t="s">
        <v>243</v>
      </c>
      <c r="D22" s="399" t="str">
        <f>D13</f>
        <v>Q-III-Oct to Dec-22</v>
      </c>
      <c r="E22" s="399"/>
      <c r="F22" s="399"/>
      <c r="G22" s="254"/>
      <c r="H22" s="399" t="str">
        <f>H13</f>
        <v>Q-III-Oct to Dec-21</v>
      </c>
      <c r="I22" s="399"/>
      <c r="J22" s="399"/>
      <c r="K22" s="399" t="s">
        <v>266</v>
      </c>
      <c r="L22" s="401" t="s">
        <v>247</v>
      </c>
    </row>
    <row r="23" spans="2:12" ht="79.5" customHeight="1" x14ac:dyDescent="0.2">
      <c r="B23" s="387"/>
      <c r="C23" s="400"/>
      <c r="D23" s="255" t="s">
        <v>248</v>
      </c>
      <c r="E23" s="255" t="s">
        <v>267</v>
      </c>
      <c r="F23" s="255" t="s">
        <v>250</v>
      </c>
      <c r="G23" s="256"/>
      <c r="H23" s="255" t="s">
        <v>248</v>
      </c>
      <c r="I23" s="255" t="s">
        <v>267</v>
      </c>
      <c r="J23" s="255" t="s">
        <v>250</v>
      </c>
      <c r="K23" s="400"/>
      <c r="L23" s="402"/>
    </row>
    <row r="24" spans="2:12" s="262" customFormat="1" ht="21" customHeight="1" x14ac:dyDescent="0.2">
      <c r="B24" s="387" t="s">
        <v>268</v>
      </c>
      <c r="C24" s="257" t="s">
        <v>253</v>
      </c>
      <c r="D24" s="258">
        <v>58</v>
      </c>
      <c r="E24" s="259">
        <v>1</v>
      </c>
      <c r="F24" s="260">
        <v>2.658582479883834</v>
      </c>
      <c r="G24" s="261"/>
      <c r="H24" s="258">
        <v>57</v>
      </c>
      <c r="I24" s="259">
        <v>0</v>
      </c>
      <c r="J24" s="260">
        <v>2.7218542879044216</v>
      </c>
      <c r="K24" s="257">
        <v>1</v>
      </c>
      <c r="L24" s="389" t="s">
        <v>254</v>
      </c>
    </row>
    <row r="25" spans="2:12" s="262" customFormat="1" ht="21" customHeight="1" x14ac:dyDescent="0.2">
      <c r="B25" s="387"/>
      <c r="C25" s="257" t="s">
        <v>255</v>
      </c>
      <c r="D25" s="258">
        <v>3</v>
      </c>
      <c r="E25" s="259">
        <v>0</v>
      </c>
      <c r="F25" s="260">
        <v>0.32493372876866933</v>
      </c>
      <c r="G25" s="261"/>
      <c r="H25" s="258">
        <v>3</v>
      </c>
      <c r="I25" s="259">
        <v>0</v>
      </c>
      <c r="J25" s="260">
        <v>0.32861550359609837</v>
      </c>
      <c r="K25" s="257">
        <v>0</v>
      </c>
      <c r="L25" s="390"/>
    </row>
    <row r="26" spans="2:12" s="262" customFormat="1" ht="21" customHeight="1" x14ac:dyDescent="0.2">
      <c r="B26" s="387"/>
      <c r="C26" s="257" t="s">
        <v>256</v>
      </c>
      <c r="D26" s="258">
        <v>6</v>
      </c>
      <c r="E26" s="259">
        <v>0</v>
      </c>
      <c r="F26" s="260">
        <v>1.1623435857479802</v>
      </c>
      <c r="G26" s="261"/>
      <c r="H26" s="258">
        <v>5</v>
      </c>
      <c r="I26" s="259">
        <v>0</v>
      </c>
      <c r="J26" s="260">
        <v>1.2863788859196719</v>
      </c>
      <c r="K26" s="257">
        <v>0</v>
      </c>
      <c r="L26" s="390"/>
    </row>
    <row r="27" spans="2:12" s="262" customFormat="1" ht="21" customHeight="1" x14ac:dyDescent="0.2">
      <c r="B27" s="387"/>
      <c r="C27" s="257" t="s">
        <v>257</v>
      </c>
      <c r="D27" s="258">
        <v>13</v>
      </c>
      <c r="E27" s="259">
        <v>0</v>
      </c>
      <c r="F27" s="260">
        <v>1.5314466041563799</v>
      </c>
      <c r="G27" s="261"/>
      <c r="H27" s="258">
        <v>12</v>
      </c>
      <c r="I27" s="259">
        <v>0</v>
      </c>
      <c r="J27" s="260">
        <v>2.0868740539770707</v>
      </c>
      <c r="K27" s="257">
        <v>0</v>
      </c>
      <c r="L27" s="390"/>
    </row>
    <row r="28" spans="2:12" s="262" customFormat="1" ht="21" customHeight="1" x14ac:dyDescent="0.2">
      <c r="B28" s="387"/>
      <c r="C28" s="257" t="s">
        <v>258</v>
      </c>
      <c r="D28" s="259">
        <v>45</v>
      </c>
      <c r="E28" s="259" t="s">
        <v>259</v>
      </c>
      <c r="F28" s="260">
        <v>1.7050486956128839</v>
      </c>
      <c r="G28" s="266"/>
      <c r="H28" s="259">
        <v>41</v>
      </c>
      <c r="I28" s="259">
        <v>0</v>
      </c>
      <c r="J28" s="260">
        <v>1.1215561941907346</v>
      </c>
      <c r="K28" s="257">
        <v>0</v>
      </c>
      <c r="L28" s="390"/>
    </row>
    <row r="29" spans="2:12" s="262" customFormat="1" ht="21" customHeight="1" x14ac:dyDescent="0.2">
      <c r="B29" s="387"/>
      <c r="C29" s="271" t="s">
        <v>260</v>
      </c>
      <c r="D29" s="264">
        <f>SUM(D24:D28)</f>
        <v>125</v>
      </c>
      <c r="E29" s="264" t="s">
        <v>269</v>
      </c>
      <c r="F29" s="272">
        <v>2.1862262053200672</v>
      </c>
      <c r="G29" s="275"/>
      <c r="H29" s="264">
        <v>118</v>
      </c>
      <c r="I29" s="276">
        <v>0</v>
      </c>
      <c r="J29" s="272">
        <v>2.0779212211797469</v>
      </c>
      <c r="K29" s="255">
        <f>SUM(K24:K28)</f>
        <v>1</v>
      </c>
      <c r="L29" s="390"/>
    </row>
    <row r="30" spans="2:12" s="270" customFormat="1" ht="16.5" customHeight="1" thickBot="1" x14ac:dyDescent="0.25">
      <c r="B30" s="388"/>
      <c r="C30" s="277"/>
      <c r="D30" s="392" t="s">
        <v>261</v>
      </c>
      <c r="E30" s="393"/>
      <c r="F30" s="394"/>
      <c r="G30" s="274"/>
      <c r="H30" s="392"/>
      <c r="I30" s="393"/>
      <c r="J30" s="394"/>
      <c r="K30" s="269"/>
      <c r="L30" s="391"/>
    </row>
    <row r="31" spans="2:12" ht="62.25" customHeight="1" x14ac:dyDescent="0.2">
      <c r="B31" s="278"/>
      <c r="C31" s="279"/>
      <c r="D31" s="279"/>
      <c r="E31" s="279"/>
      <c r="F31" s="279"/>
      <c r="G31" s="279"/>
      <c r="H31" s="279"/>
      <c r="I31" s="279"/>
      <c r="J31" s="279"/>
      <c r="K31" s="279"/>
      <c r="L31" s="279"/>
    </row>
    <row r="32" spans="2:12" ht="86.25" customHeight="1" x14ac:dyDescent="0.2"/>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13"/>
  <sheetViews>
    <sheetView view="pageBreakPreview" topLeftCell="A2" zoomScale="115" zoomScaleSheetLayoutView="115" workbookViewId="0">
      <selection activeCell="I31" sqref="I31"/>
    </sheetView>
  </sheetViews>
  <sheetFormatPr defaultRowHeight="12.75" x14ac:dyDescent="0.2"/>
  <cols>
    <col min="1" max="1" width="1.85546875" style="280" customWidth="1"/>
    <col min="2" max="2" width="4.7109375" style="280" customWidth="1"/>
    <col min="3" max="3" width="25.85546875" style="308" customWidth="1"/>
    <col min="4" max="4" width="5" style="280" customWidth="1"/>
    <col min="5" max="5" width="15.28515625" style="280" customWidth="1"/>
    <col min="6" max="6" width="19" style="280" customWidth="1"/>
    <col min="7" max="7" width="15.28515625" style="280" customWidth="1"/>
    <col min="8" max="8" width="15.85546875" style="280" customWidth="1"/>
    <col min="9" max="9" width="18.5703125" style="280" customWidth="1"/>
    <col min="10" max="12" width="12.5703125" style="280" customWidth="1"/>
    <col min="13" max="13" width="13.28515625" style="280" customWidth="1"/>
    <col min="14" max="17" width="12.5703125" style="280" customWidth="1"/>
    <col min="18" max="18" width="2.7109375" style="280" customWidth="1"/>
    <col min="19" max="22" width="12.5703125" style="280" customWidth="1"/>
    <col min="23" max="16384" width="9.140625" style="280"/>
  </cols>
  <sheetData>
    <row r="1" spans="2:19" ht="39" customHeight="1" x14ac:dyDescent="0.2">
      <c r="B1" s="420" t="s">
        <v>270</v>
      </c>
      <c r="C1" s="420"/>
      <c r="D1" s="420"/>
      <c r="E1" s="420"/>
      <c r="F1" s="420"/>
      <c r="G1" s="420"/>
      <c r="H1" s="420"/>
      <c r="I1" s="420"/>
    </row>
    <row r="2" spans="2:19" ht="30.75" customHeight="1" x14ac:dyDescent="0.2">
      <c r="B2" s="281" t="s">
        <v>271</v>
      </c>
      <c r="C2" s="282"/>
      <c r="D2" s="282"/>
      <c r="E2" s="282"/>
      <c r="F2" s="282"/>
      <c r="H2" s="282"/>
      <c r="I2" s="283" t="s">
        <v>272</v>
      </c>
    </row>
    <row r="3" spans="2:19" ht="33" customHeight="1" thickBot="1" x14ac:dyDescent="0.25">
      <c r="B3" s="421" t="s">
        <v>273</v>
      </c>
      <c r="C3" s="421"/>
      <c r="D3" s="421"/>
      <c r="E3" s="421"/>
      <c r="F3" s="421"/>
      <c r="G3" s="421"/>
      <c r="H3" s="421"/>
      <c r="I3" s="421"/>
    </row>
    <row r="4" spans="2:19" ht="48.75" customHeight="1" x14ac:dyDescent="0.2">
      <c r="B4" s="412" t="s">
        <v>274</v>
      </c>
      <c r="C4" s="415" t="s">
        <v>275</v>
      </c>
      <c r="D4" s="416"/>
      <c r="E4" s="284" t="s">
        <v>276</v>
      </c>
      <c r="F4" s="422" t="s">
        <v>277</v>
      </c>
      <c r="G4" s="422"/>
      <c r="H4" s="422" t="s">
        <v>278</v>
      </c>
      <c r="I4" s="423"/>
      <c r="L4" s="285"/>
    </row>
    <row r="5" spans="2:19" ht="25.5" customHeight="1" x14ac:dyDescent="0.2">
      <c r="B5" s="413"/>
      <c r="C5" s="286" t="s">
        <v>279</v>
      </c>
      <c r="D5" s="287" t="s">
        <v>280</v>
      </c>
      <c r="E5" s="288"/>
      <c r="F5" s="424">
        <v>65738</v>
      </c>
      <c r="G5" s="424"/>
      <c r="H5" s="425">
        <v>129736</v>
      </c>
      <c r="I5" s="426"/>
      <c r="K5" s="289"/>
      <c r="L5" s="290"/>
      <c r="M5" s="290"/>
    </row>
    <row r="6" spans="2:19" ht="25.5" customHeight="1" x14ac:dyDescent="0.2">
      <c r="B6" s="413"/>
      <c r="C6" s="286" t="s">
        <v>281</v>
      </c>
      <c r="D6" s="287" t="s">
        <v>280</v>
      </c>
      <c r="E6" s="288"/>
      <c r="F6" s="424">
        <v>12701</v>
      </c>
      <c r="G6" s="424"/>
      <c r="H6" s="425">
        <v>16492</v>
      </c>
      <c r="I6" s="426"/>
      <c r="K6" s="289"/>
      <c r="L6" s="290"/>
      <c r="M6" s="290"/>
    </row>
    <row r="7" spans="2:19" ht="25.5" customHeight="1" thickBot="1" x14ac:dyDescent="0.25">
      <c r="B7" s="414"/>
      <c r="C7" s="291" t="s">
        <v>260</v>
      </c>
      <c r="D7" s="292" t="s">
        <v>280</v>
      </c>
      <c r="E7" s="293"/>
      <c r="F7" s="409">
        <f>SUM(F5:F6)</f>
        <v>78439</v>
      </c>
      <c r="G7" s="409"/>
      <c r="H7" s="410">
        <f>SUM(H5:H6)</f>
        <v>146228</v>
      </c>
      <c r="I7" s="411"/>
      <c r="K7" s="294"/>
    </row>
    <row r="8" spans="2:19" s="296" customFormat="1" ht="48.75" customHeight="1" x14ac:dyDescent="0.2">
      <c r="B8" s="412" t="s">
        <v>282</v>
      </c>
      <c r="C8" s="415" t="s">
        <v>283</v>
      </c>
      <c r="D8" s="416"/>
      <c r="E8" s="284" t="s">
        <v>284</v>
      </c>
      <c r="F8" s="284" t="s">
        <v>285</v>
      </c>
      <c r="G8" s="284" t="s">
        <v>286</v>
      </c>
      <c r="H8" s="284" t="s">
        <v>287</v>
      </c>
      <c r="I8" s="295" t="s">
        <v>288</v>
      </c>
      <c r="K8" s="297"/>
      <c r="L8" s="298"/>
      <c r="M8" s="298"/>
    </row>
    <row r="9" spans="2:19" ht="25.5" customHeight="1" x14ac:dyDescent="0.2">
      <c r="B9" s="413"/>
      <c r="C9" s="286" t="s">
        <v>279</v>
      </c>
      <c r="D9" s="287" t="s">
        <v>280</v>
      </c>
      <c r="E9" s="299">
        <v>7252</v>
      </c>
      <c r="F9" s="300">
        <v>23660</v>
      </c>
      <c r="G9" s="299">
        <f>F9+E9</f>
        <v>30912</v>
      </c>
      <c r="H9" s="300">
        <v>25495</v>
      </c>
      <c r="I9" s="301">
        <f>G9-H9</f>
        <v>5417</v>
      </c>
      <c r="J9" s="290"/>
      <c r="K9" s="302"/>
      <c r="L9" s="302"/>
    </row>
    <row r="10" spans="2:19" ht="25.5" customHeight="1" x14ac:dyDescent="0.2">
      <c r="B10" s="413"/>
      <c r="C10" s="286" t="s">
        <v>281</v>
      </c>
      <c r="D10" s="287" t="s">
        <v>280</v>
      </c>
      <c r="E10" s="299">
        <v>610</v>
      </c>
      <c r="F10" s="300">
        <v>3369</v>
      </c>
      <c r="G10" s="299">
        <f>F10+E10</f>
        <v>3979</v>
      </c>
      <c r="H10" s="300">
        <v>3037</v>
      </c>
      <c r="I10" s="301">
        <f>G10-H10</f>
        <v>942</v>
      </c>
      <c r="J10" s="290"/>
      <c r="K10" s="302"/>
      <c r="L10" s="302"/>
    </row>
    <row r="11" spans="2:19" ht="25.5" customHeight="1" thickBot="1" x14ac:dyDescent="0.25">
      <c r="B11" s="414"/>
      <c r="C11" s="291" t="s">
        <v>260</v>
      </c>
      <c r="D11" s="292" t="s">
        <v>280</v>
      </c>
      <c r="E11" s="303">
        <f>E9+E10</f>
        <v>7862</v>
      </c>
      <c r="F11" s="303">
        <f>F9+F10</f>
        <v>27029</v>
      </c>
      <c r="G11" s="303">
        <f t="shared" ref="G11:I11" si="0">SUM(G9:G10)</f>
        <v>34891</v>
      </c>
      <c r="H11" s="303">
        <f t="shared" si="0"/>
        <v>28532</v>
      </c>
      <c r="I11" s="304">
        <f t="shared" si="0"/>
        <v>6359</v>
      </c>
      <c r="K11" s="302"/>
      <c r="L11" s="302"/>
    </row>
    <row r="12" spans="2:19" s="305" customFormat="1" ht="50.25" customHeight="1" thickBot="1" x14ac:dyDescent="0.25">
      <c r="B12" s="417" t="s">
        <v>289</v>
      </c>
      <c r="C12" s="418"/>
      <c r="D12" s="418"/>
      <c r="E12" s="418"/>
      <c r="F12" s="418"/>
      <c r="G12" s="418"/>
      <c r="H12" s="418"/>
      <c r="I12" s="419"/>
    </row>
    <row r="13" spans="2:19" s="296" customFormat="1" ht="20.25" customHeight="1" x14ac:dyDescent="0.2">
      <c r="C13" s="306"/>
      <c r="D13" s="306"/>
      <c r="E13" s="306"/>
      <c r="F13" s="306"/>
      <c r="G13" s="306"/>
      <c r="H13" s="306"/>
      <c r="S13" s="307"/>
    </row>
  </sheetData>
  <mergeCells count="15">
    <mergeCell ref="B1:I1"/>
    <mergeCell ref="B3:I3"/>
    <mergeCell ref="B4:B7"/>
    <mergeCell ref="C4:D4"/>
    <mergeCell ref="F4:G4"/>
    <mergeCell ref="H4:I4"/>
    <mergeCell ref="F5:G5"/>
    <mergeCell ref="H5:I5"/>
    <mergeCell ref="F6:G6"/>
    <mergeCell ref="H6:I6"/>
    <mergeCell ref="F7:G7"/>
    <mergeCell ref="H7:I7"/>
    <mergeCell ref="B8:B11"/>
    <mergeCell ref="C8:D8"/>
    <mergeCell ref="B12:I12"/>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0" t="s">
        <v>129</v>
      </c>
      <c r="B1" s="30" t="s">
        <v>130</v>
      </c>
      <c r="C1" s="31" t="s">
        <v>131</v>
      </c>
      <c r="D1" s="31" t="s">
        <v>132</v>
      </c>
      <c r="E1" s="31" t="s">
        <v>133</v>
      </c>
      <c r="F1" s="31" t="s">
        <v>134</v>
      </c>
      <c r="G1" s="31" t="s">
        <v>135</v>
      </c>
      <c r="H1" s="31" t="s">
        <v>136</v>
      </c>
      <c r="I1" s="31" t="s">
        <v>137</v>
      </c>
      <c r="J1" s="31" t="s">
        <v>138</v>
      </c>
      <c r="K1" s="31" t="s">
        <v>139</v>
      </c>
    </row>
    <row r="2" spans="1:11" ht="15" customHeight="1" x14ac:dyDescent="0.25">
      <c r="A2" s="32" t="s">
        <v>140</v>
      </c>
      <c r="B2" s="32"/>
      <c r="C2" s="32"/>
      <c r="D2" s="32"/>
      <c r="E2" s="32"/>
      <c r="F2" s="32"/>
      <c r="G2" s="32"/>
      <c r="H2" s="32"/>
      <c r="I2" s="32"/>
      <c r="J2" s="32"/>
      <c r="K2" s="32"/>
    </row>
    <row r="3" spans="1:11" ht="15" customHeight="1" x14ac:dyDescent="0.25">
      <c r="A3" s="33">
        <v>1</v>
      </c>
      <c r="B3" s="33" t="s">
        <v>2</v>
      </c>
      <c r="C3" s="34">
        <v>3116069269.4099998</v>
      </c>
      <c r="D3" s="34">
        <v>17043896.82</v>
      </c>
      <c r="E3" s="34">
        <v>172650.77</v>
      </c>
      <c r="F3" s="34">
        <v>343600985.27999997</v>
      </c>
      <c r="G3" s="34">
        <v>0</v>
      </c>
      <c r="H3" s="34">
        <v>73554896.5</v>
      </c>
      <c r="I3" s="34">
        <v>227109.15</v>
      </c>
      <c r="J3" s="34">
        <v>18633312.23</v>
      </c>
      <c r="K3" s="34">
        <v>3569302120.1599998</v>
      </c>
    </row>
    <row r="4" spans="1:11" ht="15" customHeight="1" x14ac:dyDescent="0.25">
      <c r="A4" s="33">
        <v>2</v>
      </c>
      <c r="B4" s="33" t="s">
        <v>141</v>
      </c>
      <c r="C4" s="34">
        <v>71089139.950000003</v>
      </c>
      <c r="D4" s="34">
        <v>101753.87</v>
      </c>
      <c r="E4" s="34">
        <v>17040</v>
      </c>
      <c r="F4" s="34">
        <v>7364652.4699999997</v>
      </c>
      <c r="G4" s="34">
        <v>0</v>
      </c>
      <c r="H4" s="34">
        <v>748929.5</v>
      </c>
      <c r="I4" s="34">
        <v>23532.400000000001</v>
      </c>
      <c r="J4" s="34">
        <v>453786.14</v>
      </c>
      <c r="K4" s="34">
        <v>79798834.329999998</v>
      </c>
    </row>
    <row r="5" spans="1:11" ht="15" customHeight="1" x14ac:dyDescent="0.25">
      <c r="A5" s="33">
        <v>3</v>
      </c>
      <c r="B5" s="33" t="s">
        <v>142</v>
      </c>
      <c r="C5" s="34">
        <v>2127392756.0799999</v>
      </c>
      <c r="D5" s="34">
        <v>10987310.15</v>
      </c>
      <c r="E5" s="34">
        <v>55383.85</v>
      </c>
      <c r="F5" s="34">
        <v>335242088.61000001</v>
      </c>
      <c r="G5" s="34">
        <v>0</v>
      </c>
      <c r="H5" s="34">
        <v>15904544</v>
      </c>
      <c r="I5" s="34">
        <v>285434.14</v>
      </c>
      <c r="J5" s="34">
        <v>5771228.1399999997</v>
      </c>
      <c r="K5" s="34">
        <v>2495638744.9699998</v>
      </c>
    </row>
    <row r="6" spans="1:11" ht="15" customHeight="1" x14ac:dyDescent="0.25">
      <c r="A6" s="33"/>
      <c r="B6" s="33" t="s">
        <v>143</v>
      </c>
      <c r="C6" s="34">
        <v>78023457.159999996</v>
      </c>
      <c r="D6" s="34">
        <v>0</v>
      </c>
      <c r="E6" s="34">
        <v>0</v>
      </c>
      <c r="F6" s="34">
        <v>19271785.379999999</v>
      </c>
      <c r="G6" s="34">
        <v>0</v>
      </c>
      <c r="H6" s="34">
        <v>469841</v>
      </c>
      <c r="I6" s="34">
        <v>303675.78000000003</v>
      </c>
      <c r="J6" s="34">
        <v>245968.69</v>
      </c>
      <c r="K6" s="34">
        <v>98314728.010000005</v>
      </c>
    </row>
    <row r="7" spans="1:11" ht="15" customHeight="1" x14ac:dyDescent="0.25">
      <c r="A7" s="33"/>
      <c r="B7" s="33" t="s">
        <v>144</v>
      </c>
      <c r="C7" s="34">
        <v>2205416213.2399998</v>
      </c>
      <c r="D7" s="34">
        <v>10987310.15</v>
      </c>
      <c r="E7" s="34">
        <v>55383.85</v>
      </c>
      <c r="F7" s="34">
        <v>354513873.99000001</v>
      </c>
      <c r="G7" s="34">
        <v>0</v>
      </c>
      <c r="H7" s="34">
        <v>16374385</v>
      </c>
      <c r="I7" s="34">
        <v>589109.92000000004</v>
      </c>
      <c r="J7" s="34">
        <v>6017196.8300000001</v>
      </c>
      <c r="K7" s="34">
        <v>2593953472.98</v>
      </c>
    </row>
    <row r="8" spans="1:11" ht="15" customHeight="1" x14ac:dyDescent="0.25">
      <c r="A8" s="33">
        <v>4</v>
      </c>
      <c r="B8" s="33" t="s">
        <v>145</v>
      </c>
      <c r="C8" s="34">
        <v>229130849.12</v>
      </c>
      <c r="D8" s="34">
        <v>7024.2</v>
      </c>
      <c r="E8" s="34">
        <v>360</v>
      </c>
      <c r="F8" s="34">
        <v>3568735.55</v>
      </c>
      <c r="G8" s="34">
        <v>0</v>
      </c>
      <c r="H8" s="34">
        <v>1043824</v>
      </c>
      <c r="I8" s="34">
        <v>84685</v>
      </c>
      <c r="J8" s="34">
        <v>38964479.619999997</v>
      </c>
      <c r="K8" s="34">
        <v>272799957.49000001</v>
      </c>
    </row>
    <row r="9" spans="1:11" ht="15" customHeight="1" x14ac:dyDescent="0.25">
      <c r="A9" s="33">
        <v>5</v>
      </c>
      <c r="B9" s="33" t="s">
        <v>5</v>
      </c>
      <c r="C9" s="34">
        <v>224828301.09</v>
      </c>
      <c r="D9" s="34">
        <v>1100948.82</v>
      </c>
      <c r="E9" s="34">
        <v>69162.009999999995</v>
      </c>
      <c r="F9" s="34">
        <v>32851.339999999997</v>
      </c>
      <c r="G9" s="34">
        <v>0</v>
      </c>
      <c r="H9" s="34">
        <v>6727882.5</v>
      </c>
      <c r="I9" s="34">
        <v>96521.78</v>
      </c>
      <c r="J9" s="34">
        <v>1507359.23</v>
      </c>
      <c r="K9" s="34">
        <v>234363026.77000001</v>
      </c>
    </row>
    <row r="10" spans="1:11" ht="15" customHeight="1" x14ac:dyDescent="0.25">
      <c r="A10" s="33">
        <v>6</v>
      </c>
      <c r="B10" s="33" t="s">
        <v>146</v>
      </c>
      <c r="C10" s="34">
        <v>93088768.859999999</v>
      </c>
      <c r="D10" s="34">
        <v>0</v>
      </c>
      <c r="E10" s="34">
        <v>0</v>
      </c>
      <c r="F10" s="34">
        <v>833815.28</v>
      </c>
      <c r="G10" s="34">
        <v>0</v>
      </c>
      <c r="H10" s="34">
        <v>302109.5</v>
      </c>
      <c r="I10" s="34">
        <v>89765.18</v>
      </c>
      <c r="J10" s="34">
        <v>4559629.57</v>
      </c>
      <c r="K10" s="34">
        <v>98874088.390000001</v>
      </c>
    </row>
    <row r="11" spans="1:11" ht="15" customHeight="1" x14ac:dyDescent="0.25">
      <c r="A11" s="33">
        <v>7</v>
      </c>
      <c r="B11" s="33" t="s">
        <v>147</v>
      </c>
      <c r="C11" s="34">
        <v>2188369.91</v>
      </c>
      <c r="D11" s="34">
        <v>52177.62</v>
      </c>
      <c r="E11" s="34">
        <v>0</v>
      </c>
      <c r="F11" s="34">
        <v>239472.02</v>
      </c>
      <c r="G11" s="34">
        <v>0</v>
      </c>
      <c r="H11" s="34">
        <v>183965.5</v>
      </c>
      <c r="I11" s="34">
        <v>10954.81</v>
      </c>
      <c r="J11" s="34">
        <v>1881544.86</v>
      </c>
      <c r="K11" s="34">
        <v>4556484.72</v>
      </c>
    </row>
    <row r="12" spans="1:11" ht="15" customHeight="1" x14ac:dyDescent="0.25">
      <c r="A12" s="33">
        <v>8</v>
      </c>
      <c r="B12" s="33" t="s">
        <v>148</v>
      </c>
      <c r="C12" s="34">
        <v>1346751.03</v>
      </c>
      <c r="D12" s="34">
        <v>29611.200000000001</v>
      </c>
      <c r="E12" s="34">
        <v>0</v>
      </c>
      <c r="F12" s="34">
        <v>0</v>
      </c>
      <c r="G12" s="34">
        <v>0</v>
      </c>
      <c r="H12" s="34">
        <v>0</v>
      </c>
      <c r="I12" s="34">
        <v>0</v>
      </c>
      <c r="J12" s="34">
        <v>12750.19</v>
      </c>
      <c r="K12" s="34">
        <v>1389112.42</v>
      </c>
    </row>
    <row r="13" spans="1:11" ht="15" customHeight="1" x14ac:dyDescent="0.25">
      <c r="A13" s="33">
        <v>9</v>
      </c>
      <c r="B13" s="33" t="s">
        <v>149</v>
      </c>
      <c r="C13" s="34">
        <v>0</v>
      </c>
      <c r="D13" s="34">
        <v>3642101.75</v>
      </c>
      <c r="E13" s="34">
        <v>0</v>
      </c>
      <c r="F13" s="34">
        <v>384932.08</v>
      </c>
      <c r="G13" s="34">
        <v>0</v>
      </c>
      <c r="H13" s="34">
        <v>0</v>
      </c>
      <c r="I13" s="34">
        <v>46327.9</v>
      </c>
      <c r="J13" s="34">
        <v>55.4</v>
      </c>
      <c r="K13" s="34">
        <v>4073417.13</v>
      </c>
    </row>
    <row r="14" spans="1:11" ht="15" customHeight="1" x14ac:dyDescent="0.25">
      <c r="A14" s="33">
        <v>10</v>
      </c>
      <c r="B14" s="33" t="s">
        <v>150</v>
      </c>
      <c r="C14" s="34">
        <v>5861599084.5100002</v>
      </c>
      <c r="D14" s="34">
        <v>29240933.859999999</v>
      </c>
      <c r="E14" s="34">
        <v>314596.63</v>
      </c>
      <c r="F14" s="34">
        <v>690643128.52999997</v>
      </c>
      <c r="G14" s="34">
        <v>0</v>
      </c>
      <c r="H14" s="34">
        <v>98282186</v>
      </c>
      <c r="I14" s="34">
        <v>807047.65</v>
      </c>
      <c r="J14" s="34">
        <v>69889794.930000007</v>
      </c>
      <c r="K14" s="34">
        <v>6750776772.1099997</v>
      </c>
    </row>
    <row r="15" spans="1:11" ht="15" customHeight="1" x14ac:dyDescent="0.25">
      <c r="A15" s="33">
        <v>11</v>
      </c>
      <c r="B15" s="33" t="s">
        <v>151</v>
      </c>
      <c r="C15" s="34">
        <v>3535120.94</v>
      </c>
      <c r="D15" s="34">
        <v>81788.820000000007</v>
      </c>
      <c r="E15" s="34">
        <v>0</v>
      </c>
      <c r="F15" s="34">
        <v>239472.02</v>
      </c>
      <c r="G15" s="34">
        <v>0</v>
      </c>
      <c r="H15" s="34">
        <v>183965.5</v>
      </c>
      <c r="I15" s="34">
        <v>10954.81</v>
      </c>
      <c r="J15" s="34">
        <v>1894295.05</v>
      </c>
      <c r="K15" s="34">
        <v>5945597.1399999997</v>
      </c>
    </row>
    <row r="16" spans="1:11" ht="15" customHeight="1" x14ac:dyDescent="0.25">
      <c r="A16" s="33">
        <v>12</v>
      </c>
      <c r="B16" s="33" t="s">
        <v>152</v>
      </c>
      <c r="C16" s="34">
        <v>78023457.159999996</v>
      </c>
      <c r="D16" s="34">
        <v>3642101.75</v>
      </c>
      <c r="E16" s="34">
        <v>0</v>
      </c>
      <c r="F16" s="34">
        <v>19656717.460000001</v>
      </c>
      <c r="G16" s="34">
        <v>0</v>
      </c>
      <c r="H16" s="34">
        <v>469841</v>
      </c>
      <c r="I16" s="34">
        <v>350003.68</v>
      </c>
      <c r="J16" s="34">
        <v>246024.09</v>
      </c>
      <c r="K16" s="34">
        <v>102388145.14</v>
      </c>
    </row>
    <row r="17" spans="1:11" ht="15" customHeight="1" x14ac:dyDescent="0.25">
      <c r="A17" s="33">
        <v>13</v>
      </c>
      <c r="B17" s="33" t="s">
        <v>153</v>
      </c>
      <c r="C17" s="34">
        <v>5943157662.6099997</v>
      </c>
      <c r="D17" s="34">
        <v>32964824.43</v>
      </c>
      <c r="E17" s="34">
        <v>314596.63</v>
      </c>
      <c r="F17" s="34">
        <v>710539318.00999999</v>
      </c>
      <c r="G17" s="34">
        <v>0</v>
      </c>
      <c r="H17" s="34">
        <v>98935992.5</v>
      </c>
      <c r="I17" s="34">
        <v>1168006.1399999999</v>
      </c>
      <c r="J17" s="34">
        <v>72030114.069999993</v>
      </c>
      <c r="K17" s="34">
        <v>6859110514.3900003</v>
      </c>
    </row>
    <row r="18" spans="1:11" ht="15" customHeight="1" x14ac:dyDescent="0.25">
      <c r="A18" s="32" t="s">
        <v>140</v>
      </c>
      <c r="B18" s="32"/>
      <c r="C18" s="32"/>
      <c r="D18" s="32"/>
      <c r="E18" s="32"/>
      <c r="F18" s="32"/>
      <c r="G18" s="32"/>
      <c r="H18" s="32"/>
      <c r="I18" s="32"/>
      <c r="J18" s="32"/>
      <c r="K18" s="32"/>
    </row>
    <row r="19" spans="1:11" ht="15" customHeight="1" x14ac:dyDescent="0.3">
      <c r="A19" s="35" t="s">
        <v>154</v>
      </c>
      <c r="B19" s="35"/>
      <c r="C19" s="35"/>
      <c r="D19" s="35"/>
      <c r="E19" s="35"/>
      <c r="F19" s="35"/>
      <c r="G19" s="35"/>
      <c r="H19" s="35"/>
      <c r="I19" s="35"/>
      <c r="J19" s="35"/>
      <c r="K19" s="35"/>
    </row>
    <row r="20" spans="1:11" ht="15" customHeight="1" x14ac:dyDescent="0.25">
      <c r="A20" s="32" t="s">
        <v>140</v>
      </c>
      <c r="B20" s="32"/>
      <c r="C20" s="32"/>
      <c r="D20" s="32"/>
      <c r="E20" s="32"/>
      <c r="F20" s="32"/>
      <c r="G20" s="32"/>
      <c r="H20" s="32"/>
      <c r="I20" s="32"/>
      <c r="J20" s="32"/>
      <c r="K20" s="32"/>
    </row>
    <row r="21" spans="1:11" ht="15" customHeight="1" x14ac:dyDescent="0.3">
      <c r="A21" s="30" t="s">
        <v>129</v>
      </c>
      <c r="B21" s="30" t="s">
        <v>130</v>
      </c>
      <c r="C21" s="31" t="s">
        <v>155</v>
      </c>
      <c r="D21" s="31" t="s">
        <v>156</v>
      </c>
      <c r="E21" s="31" t="s">
        <v>157</v>
      </c>
      <c r="F21" s="31" t="s">
        <v>158</v>
      </c>
      <c r="G21" s="31" t="s">
        <v>159</v>
      </c>
      <c r="H21" s="31" t="s">
        <v>160</v>
      </c>
      <c r="I21" s="31" t="s">
        <v>161</v>
      </c>
      <c r="J21" s="31" t="s">
        <v>162</v>
      </c>
      <c r="K21" s="31" t="s">
        <v>163</v>
      </c>
    </row>
    <row r="22" spans="1:11" ht="15" customHeight="1" x14ac:dyDescent="0.25">
      <c r="A22" s="32" t="s">
        <v>140</v>
      </c>
      <c r="B22" s="32"/>
      <c r="C22" s="32"/>
      <c r="D22" s="32"/>
      <c r="E22" s="32"/>
      <c r="F22" s="32"/>
      <c r="G22" s="32"/>
      <c r="H22" s="32"/>
      <c r="I22" s="32"/>
      <c r="J22" s="32"/>
      <c r="K22" s="32"/>
    </row>
    <row r="23" spans="1:11" ht="15" customHeight="1" x14ac:dyDescent="0.25">
      <c r="A23" s="33">
        <v>1</v>
      </c>
      <c r="B23" s="33" t="s">
        <v>2</v>
      </c>
      <c r="C23" s="34">
        <v>1178560</v>
      </c>
      <c r="D23" s="34">
        <v>547896815</v>
      </c>
      <c r="E23" s="34">
        <v>108936347.28</v>
      </c>
      <c r="F23" s="34">
        <v>2277778320.7800002</v>
      </c>
      <c r="G23" s="34">
        <v>698827103.16999996</v>
      </c>
      <c r="H23" s="34">
        <v>0</v>
      </c>
      <c r="I23" s="34">
        <v>23878038.489999998</v>
      </c>
      <c r="J23" s="34">
        <v>6649459.6900000004</v>
      </c>
      <c r="K23" s="34">
        <v>3116069269.4099998</v>
      </c>
    </row>
    <row r="24" spans="1:11" ht="15" customHeight="1" x14ac:dyDescent="0.25">
      <c r="A24" s="33">
        <v>2</v>
      </c>
      <c r="B24" s="33" t="s">
        <v>141</v>
      </c>
      <c r="C24" s="34">
        <v>10324</v>
      </c>
      <c r="D24" s="34">
        <v>12238984</v>
      </c>
      <c r="E24" s="34">
        <v>3352066.04</v>
      </c>
      <c r="F24" s="34">
        <v>49361466.770000003</v>
      </c>
      <c r="G24" s="34">
        <v>14977587.99</v>
      </c>
      <c r="H24" s="34">
        <v>0</v>
      </c>
      <c r="I24" s="34">
        <v>3186689.16</v>
      </c>
      <c r="J24" s="34">
        <v>211329.99</v>
      </c>
      <c r="K24" s="34">
        <v>71089139.950000003</v>
      </c>
    </row>
    <row r="25" spans="1:11" ht="15" customHeight="1" x14ac:dyDescent="0.25">
      <c r="A25" s="33">
        <v>3</v>
      </c>
      <c r="B25" s="33" t="s">
        <v>142</v>
      </c>
      <c r="C25" s="34">
        <v>141223</v>
      </c>
      <c r="D25" s="34">
        <v>308942121</v>
      </c>
      <c r="E25" s="34">
        <v>209816323.53</v>
      </c>
      <c r="F25" s="34">
        <v>1506771323.96</v>
      </c>
      <c r="G25" s="34">
        <v>383974357.43000001</v>
      </c>
      <c r="H25" s="34">
        <v>243868.04</v>
      </c>
      <c r="I25" s="34">
        <v>12422367.029999999</v>
      </c>
      <c r="J25" s="34">
        <v>14164516.09</v>
      </c>
      <c r="K25" s="34">
        <v>2127392756.0799999</v>
      </c>
    </row>
    <row r="26" spans="1:11" ht="15" customHeight="1" x14ac:dyDescent="0.25">
      <c r="A26" s="33"/>
      <c r="B26" s="33" t="s">
        <v>143</v>
      </c>
      <c r="C26" s="34">
        <v>4704</v>
      </c>
      <c r="D26" s="34">
        <v>8930434</v>
      </c>
      <c r="E26" s="34">
        <v>26180158.879999999</v>
      </c>
      <c r="F26" s="34">
        <v>41354591.560000002</v>
      </c>
      <c r="G26" s="34">
        <v>10417808.65</v>
      </c>
      <c r="H26" s="34">
        <v>0</v>
      </c>
      <c r="I26" s="34">
        <v>0</v>
      </c>
      <c r="J26" s="34">
        <v>70898.070000000007</v>
      </c>
      <c r="K26" s="34">
        <v>78023457.159999996</v>
      </c>
    </row>
    <row r="27" spans="1:11" ht="15" customHeight="1" x14ac:dyDescent="0.25">
      <c r="A27" s="33"/>
      <c r="B27" s="33" t="s">
        <v>144</v>
      </c>
      <c r="C27" s="34">
        <v>145927</v>
      </c>
      <c r="D27" s="34">
        <v>317872555</v>
      </c>
      <c r="E27" s="34">
        <v>235996482.41</v>
      </c>
      <c r="F27" s="34">
        <v>1548125915.52</v>
      </c>
      <c r="G27" s="34">
        <v>394392166.07999998</v>
      </c>
      <c r="H27" s="34">
        <v>243868.04</v>
      </c>
      <c r="I27" s="34">
        <v>12422367.029999999</v>
      </c>
      <c r="J27" s="34">
        <v>14235414.16</v>
      </c>
      <c r="K27" s="34">
        <v>2205416213.2399998</v>
      </c>
    </row>
    <row r="28" spans="1:11" ht="15" customHeight="1" x14ac:dyDescent="0.25">
      <c r="A28" s="33">
        <v>4</v>
      </c>
      <c r="B28" s="33" t="s">
        <v>145</v>
      </c>
      <c r="C28" s="34">
        <v>8003</v>
      </c>
      <c r="D28" s="34">
        <v>48527153</v>
      </c>
      <c r="E28" s="34">
        <v>1355207.11</v>
      </c>
      <c r="F28" s="34">
        <v>164401308.53999999</v>
      </c>
      <c r="G28" s="34">
        <v>58237665.729999997</v>
      </c>
      <c r="H28" s="34">
        <v>0</v>
      </c>
      <c r="I28" s="34">
        <v>2690678.79</v>
      </c>
      <c r="J28" s="34">
        <v>2445988.9500000002</v>
      </c>
      <c r="K28" s="34">
        <v>229130849.12</v>
      </c>
    </row>
    <row r="29" spans="1:11" ht="15" customHeight="1" x14ac:dyDescent="0.25">
      <c r="A29" s="33">
        <v>5</v>
      </c>
      <c r="B29" s="33" t="s">
        <v>5</v>
      </c>
      <c r="C29" s="34">
        <v>64962</v>
      </c>
      <c r="D29" s="34">
        <v>168792969</v>
      </c>
      <c r="E29" s="34">
        <v>32021768.899999999</v>
      </c>
      <c r="F29" s="34">
        <v>186279271.38999999</v>
      </c>
      <c r="G29" s="34">
        <v>0</v>
      </c>
      <c r="H29" s="34">
        <v>0</v>
      </c>
      <c r="I29" s="34">
        <v>5083644.16</v>
      </c>
      <c r="J29" s="34">
        <v>1443616.64</v>
      </c>
      <c r="K29" s="34">
        <v>224828301.09</v>
      </c>
    </row>
    <row r="30" spans="1:11" ht="15" customHeight="1" x14ac:dyDescent="0.25">
      <c r="A30" s="33">
        <v>6</v>
      </c>
      <c r="B30" s="33" t="s">
        <v>146</v>
      </c>
      <c r="C30" s="34">
        <v>4333</v>
      </c>
      <c r="D30" s="34">
        <v>15223858</v>
      </c>
      <c r="E30" s="34">
        <v>212629.18</v>
      </c>
      <c r="F30" s="34">
        <v>71319701.260000005</v>
      </c>
      <c r="G30" s="34">
        <v>20672610.43</v>
      </c>
      <c r="H30" s="34">
        <v>0</v>
      </c>
      <c r="I30" s="34">
        <v>303088.92</v>
      </c>
      <c r="J30" s="34">
        <v>580739.06999999995</v>
      </c>
      <c r="K30" s="34">
        <v>93088768.859999999</v>
      </c>
    </row>
    <row r="31" spans="1:11" ht="15" customHeight="1" x14ac:dyDescent="0.25">
      <c r="A31" s="33">
        <v>7</v>
      </c>
      <c r="B31" s="33" t="s">
        <v>147</v>
      </c>
      <c r="C31" s="34">
        <v>75006</v>
      </c>
      <c r="D31" s="34">
        <v>254352</v>
      </c>
      <c r="E31" s="34">
        <v>0</v>
      </c>
      <c r="F31" s="34">
        <v>0</v>
      </c>
      <c r="G31" s="34">
        <v>0</v>
      </c>
      <c r="H31" s="34">
        <v>0</v>
      </c>
      <c r="I31" s="34">
        <v>0</v>
      </c>
      <c r="J31" s="34">
        <v>2188369.91</v>
      </c>
      <c r="K31" s="34">
        <v>2188369.91</v>
      </c>
    </row>
    <row r="32" spans="1:11" ht="15" customHeight="1" x14ac:dyDescent="0.25">
      <c r="A32" s="33">
        <v>8</v>
      </c>
      <c r="B32" s="33" t="s">
        <v>148</v>
      </c>
      <c r="C32" s="34">
        <v>2231</v>
      </c>
      <c r="D32" s="34">
        <v>0</v>
      </c>
      <c r="E32" s="34">
        <v>1316135.1299999999</v>
      </c>
      <c r="F32" s="34">
        <v>5130</v>
      </c>
      <c r="G32" s="34">
        <v>0</v>
      </c>
      <c r="H32" s="34">
        <v>0</v>
      </c>
      <c r="I32" s="34">
        <v>0</v>
      </c>
      <c r="J32" s="34">
        <v>25485.9</v>
      </c>
      <c r="K32" s="34">
        <v>1346751.03</v>
      </c>
    </row>
    <row r="33" spans="1:11" ht="15" customHeight="1" x14ac:dyDescent="0.25">
      <c r="A33" s="33">
        <v>9</v>
      </c>
      <c r="B33" s="33" t="s">
        <v>149</v>
      </c>
      <c r="C33" s="34">
        <v>255</v>
      </c>
      <c r="D33" s="34">
        <v>740096</v>
      </c>
      <c r="E33" s="34">
        <v>0</v>
      </c>
      <c r="F33" s="34">
        <v>0</v>
      </c>
      <c r="G33" s="34">
        <v>0</v>
      </c>
      <c r="H33" s="34">
        <v>0</v>
      </c>
      <c r="I33" s="34">
        <v>0</v>
      </c>
      <c r="J33" s="34">
        <v>0</v>
      </c>
      <c r="K33" s="34">
        <v>0</v>
      </c>
    </row>
    <row r="34" spans="1:11" ht="15" customHeight="1" x14ac:dyDescent="0.25">
      <c r="A34" s="33">
        <v>10</v>
      </c>
      <c r="B34" s="33" t="s">
        <v>150</v>
      </c>
      <c r="C34" s="34">
        <v>1407405</v>
      </c>
      <c r="D34" s="34">
        <v>1101621900</v>
      </c>
      <c r="E34" s="34">
        <v>355694342.04000002</v>
      </c>
      <c r="F34" s="34">
        <v>4255911392.6999998</v>
      </c>
      <c r="G34" s="34">
        <v>1176689324.75</v>
      </c>
      <c r="H34" s="34">
        <v>243868.04</v>
      </c>
      <c r="I34" s="34">
        <v>47564506.549999997</v>
      </c>
      <c r="J34" s="34">
        <v>25495650.43</v>
      </c>
      <c r="K34" s="34">
        <v>5861599084.5100002</v>
      </c>
    </row>
    <row r="35" spans="1:11" ht="15" customHeight="1" x14ac:dyDescent="0.25">
      <c r="A35" s="33">
        <v>11</v>
      </c>
      <c r="B35" s="33" t="s">
        <v>164</v>
      </c>
      <c r="C35" s="34">
        <v>77237</v>
      </c>
      <c r="D35" s="34">
        <v>254352</v>
      </c>
      <c r="E35" s="34">
        <v>1316135.1299999999</v>
      </c>
      <c r="F35" s="34">
        <v>5130</v>
      </c>
      <c r="G35" s="34">
        <v>0</v>
      </c>
      <c r="H35" s="34">
        <v>0</v>
      </c>
      <c r="I35" s="34">
        <v>0</v>
      </c>
      <c r="J35" s="34">
        <v>2213855.81</v>
      </c>
      <c r="K35" s="34">
        <v>3535120.94</v>
      </c>
    </row>
    <row r="36" spans="1:11" ht="15" customHeight="1" x14ac:dyDescent="0.25">
      <c r="A36" s="33">
        <v>12</v>
      </c>
      <c r="B36" s="33" t="s">
        <v>152</v>
      </c>
      <c r="C36" s="34">
        <v>4959</v>
      </c>
      <c r="D36" s="34">
        <v>9670530</v>
      </c>
      <c r="E36" s="34">
        <v>26180158.879999999</v>
      </c>
      <c r="F36" s="34">
        <v>41354591.560000002</v>
      </c>
      <c r="G36" s="34">
        <v>10417808.65</v>
      </c>
      <c r="H36" s="34">
        <v>0</v>
      </c>
      <c r="I36" s="34">
        <v>0</v>
      </c>
      <c r="J36" s="34">
        <v>70898.070000000007</v>
      </c>
      <c r="K36" s="34">
        <v>78023457.159999996</v>
      </c>
    </row>
    <row r="37" spans="1:11" ht="15" customHeight="1" x14ac:dyDescent="0.25">
      <c r="A37" s="33">
        <v>13</v>
      </c>
      <c r="B37" s="33" t="s">
        <v>153</v>
      </c>
      <c r="C37" s="34">
        <v>1489601</v>
      </c>
      <c r="D37" s="34">
        <v>1111546782</v>
      </c>
      <c r="E37" s="34">
        <v>383190636.05000001</v>
      </c>
      <c r="F37" s="34">
        <v>4297271114.2600002</v>
      </c>
      <c r="G37" s="34">
        <v>1187107133.4000001</v>
      </c>
      <c r="H37" s="34">
        <v>243868.04</v>
      </c>
      <c r="I37" s="34">
        <v>47564506.549999997</v>
      </c>
      <c r="J37" s="34">
        <v>27780404.309999999</v>
      </c>
      <c r="K37" s="34">
        <v>5943157662.6099997</v>
      </c>
    </row>
    <row r="38" spans="1:11" ht="15" customHeight="1" x14ac:dyDescent="0.25">
      <c r="A38" s="32" t="s">
        <v>140</v>
      </c>
      <c r="B38" s="32"/>
      <c r="C38" s="32"/>
      <c r="D38" s="32"/>
      <c r="E38" s="32"/>
      <c r="F38" s="32"/>
      <c r="G38" s="32"/>
      <c r="H38" s="32"/>
      <c r="I38" s="32"/>
      <c r="J38" s="32"/>
      <c r="K38" s="32"/>
    </row>
    <row r="39" spans="1:11" ht="15" customHeight="1" x14ac:dyDescent="0.2">
      <c r="A39" s="36"/>
      <c r="B39" s="36"/>
      <c r="C39" s="36"/>
      <c r="D39" s="36"/>
      <c r="E39" s="36"/>
      <c r="F39" s="36"/>
      <c r="G39" s="36"/>
      <c r="H39" s="36"/>
      <c r="I39" s="36"/>
      <c r="J39" s="36"/>
      <c r="K39" s="36"/>
    </row>
    <row r="40" spans="1:11" ht="15" customHeight="1" x14ac:dyDescent="0.2">
      <c r="A40" s="36"/>
      <c r="B40" s="36"/>
      <c r="C40" s="36"/>
      <c r="D40" s="36"/>
      <c r="E40" s="36"/>
      <c r="F40" s="36"/>
      <c r="G40" s="36"/>
      <c r="H40" s="36"/>
      <c r="I40" s="36"/>
      <c r="J40" s="36"/>
      <c r="K40" s="36"/>
    </row>
    <row r="41" spans="1:11" ht="15" customHeight="1" x14ac:dyDescent="0.25">
      <c r="A41" s="32" t="s">
        <v>165</v>
      </c>
      <c r="B41" s="32"/>
      <c r="C41" s="32"/>
      <c r="D41" s="32"/>
      <c r="E41" s="32"/>
      <c r="F41" s="32"/>
      <c r="G41" s="32"/>
      <c r="H41" s="32"/>
      <c r="I41" s="32"/>
      <c r="J41" s="32"/>
      <c r="K41" s="32"/>
    </row>
    <row r="42" spans="1:11" ht="15" customHeight="1" x14ac:dyDescent="0.3">
      <c r="A42" s="35" t="s">
        <v>166</v>
      </c>
      <c r="B42" s="35"/>
      <c r="C42" s="35"/>
      <c r="D42" s="35"/>
      <c r="E42" s="35" t="s">
        <v>167</v>
      </c>
      <c r="F42" s="35"/>
      <c r="G42" s="35"/>
      <c r="H42" s="35"/>
      <c r="I42" s="35" t="s">
        <v>168</v>
      </c>
      <c r="J42" s="35"/>
      <c r="K42" s="35"/>
    </row>
    <row r="43" spans="1:11" ht="15" customHeight="1" x14ac:dyDescent="0.3">
      <c r="A43" s="35" t="s">
        <v>169</v>
      </c>
      <c r="B43" s="35"/>
      <c r="C43" s="35" t="s">
        <v>170</v>
      </c>
      <c r="D43" s="35"/>
      <c r="E43" s="35"/>
      <c r="F43" s="35" t="s">
        <v>171</v>
      </c>
      <c r="G43" s="35"/>
      <c r="H43" s="35"/>
      <c r="I43" s="35" t="s">
        <v>172</v>
      </c>
      <c r="J43" s="35"/>
      <c r="K43" s="35"/>
    </row>
    <row r="44" spans="1:11" ht="15" customHeight="1" x14ac:dyDescent="0.25">
      <c r="A44" s="32" t="s">
        <v>140</v>
      </c>
      <c r="B44" s="32"/>
      <c r="C44" s="32"/>
      <c r="D44" s="32"/>
      <c r="E44" s="32"/>
      <c r="F44" s="32"/>
      <c r="G44" s="32"/>
      <c r="H44" s="32"/>
      <c r="I44" s="32"/>
      <c r="J44" s="32"/>
      <c r="K44" s="32"/>
    </row>
    <row r="45" spans="1:11" ht="15" customHeight="1" x14ac:dyDescent="0.3">
      <c r="A45" s="30" t="s">
        <v>129</v>
      </c>
      <c r="B45" s="30" t="s">
        <v>130</v>
      </c>
      <c r="C45" s="31" t="s">
        <v>155</v>
      </c>
      <c r="D45" s="31" t="s">
        <v>156</v>
      </c>
      <c r="E45" s="31" t="s">
        <v>173</v>
      </c>
      <c r="F45" s="31" t="s">
        <v>139</v>
      </c>
      <c r="G45" s="31" t="s">
        <v>174</v>
      </c>
      <c r="H45" s="31" t="s">
        <v>175</v>
      </c>
      <c r="I45" s="31" t="s">
        <v>176</v>
      </c>
      <c r="J45" s="31" t="s">
        <v>177</v>
      </c>
      <c r="K45" s="31" t="s">
        <v>178</v>
      </c>
    </row>
    <row r="46" spans="1:11" ht="15" customHeight="1" x14ac:dyDescent="0.25">
      <c r="A46" s="32" t="s">
        <v>140</v>
      </c>
      <c r="B46" s="32"/>
      <c r="C46" s="32"/>
      <c r="D46" s="32"/>
      <c r="E46" s="32"/>
      <c r="F46" s="32"/>
      <c r="G46" s="32"/>
      <c r="H46" s="32"/>
      <c r="I46" s="32"/>
      <c r="J46" s="32"/>
      <c r="K46" s="32"/>
    </row>
    <row r="47" spans="1:11" ht="15" customHeight="1" x14ac:dyDescent="0.25">
      <c r="A47" s="33">
        <v>1</v>
      </c>
      <c r="B47" s="33" t="s">
        <v>2</v>
      </c>
      <c r="C47" s="34">
        <v>2384733</v>
      </c>
      <c r="D47" s="34">
        <v>547896815</v>
      </c>
      <c r="E47" s="34">
        <v>471836346.87</v>
      </c>
      <c r="F47" s="34">
        <v>3569302120.1599998</v>
      </c>
      <c r="G47" s="34">
        <v>2878352034.8699999</v>
      </c>
      <c r="H47" s="34">
        <v>472789935.75</v>
      </c>
      <c r="I47" s="34">
        <v>-16439782.75</v>
      </c>
      <c r="J47" s="34">
        <v>0</v>
      </c>
      <c r="K47" s="34">
        <v>673556713.65999997</v>
      </c>
    </row>
    <row r="48" spans="1:11" ht="15" customHeight="1" x14ac:dyDescent="0.25">
      <c r="A48" s="33">
        <v>2</v>
      </c>
      <c r="B48" s="33" t="s">
        <v>141</v>
      </c>
      <c r="C48" s="34">
        <v>19847</v>
      </c>
      <c r="D48" s="34">
        <v>12238984</v>
      </c>
      <c r="E48" s="34">
        <v>3230329.29</v>
      </c>
      <c r="F48" s="34">
        <v>79798834.329999998</v>
      </c>
      <c r="G48" s="34">
        <v>58956568.950000003</v>
      </c>
      <c r="H48" s="34">
        <v>15631265.26</v>
      </c>
      <c r="I48" s="34">
        <v>-114228.36</v>
      </c>
      <c r="J48" s="34">
        <v>0</v>
      </c>
      <c r="K48" s="34">
        <v>8327101.0499999998</v>
      </c>
    </row>
    <row r="49" spans="1:11" ht="15" customHeight="1" x14ac:dyDescent="0.25">
      <c r="A49" s="33">
        <v>3</v>
      </c>
      <c r="B49" s="33" t="s">
        <v>142</v>
      </c>
      <c r="C49" s="34">
        <v>260627</v>
      </c>
      <c r="D49" s="34">
        <v>308942121</v>
      </c>
      <c r="E49" s="34">
        <v>-156257486.13999999</v>
      </c>
      <c r="F49" s="34">
        <v>2495638744.9699998</v>
      </c>
      <c r="G49" s="34">
        <v>2019579574.79</v>
      </c>
      <c r="H49" s="34">
        <v>371874649.10000002</v>
      </c>
      <c r="I49" s="34">
        <v>-2477774.7599999998</v>
      </c>
      <c r="J49" s="34">
        <v>0</v>
      </c>
      <c r="K49" s="34">
        <v>-54550739.82</v>
      </c>
    </row>
    <row r="50" spans="1:11" ht="15" customHeight="1" x14ac:dyDescent="0.25">
      <c r="A50" s="33"/>
      <c r="B50" s="33" t="s">
        <v>143</v>
      </c>
      <c r="C50" s="34">
        <v>6576</v>
      </c>
      <c r="D50" s="34">
        <v>8930434</v>
      </c>
      <c r="E50" s="34">
        <v>23443054.57</v>
      </c>
      <c r="F50" s="34">
        <v>98314728.010000005</v>
      </c>
      <c r="G50" s="34">
        <v>91619956.280000001</v>
      </c>
      <c r="H50" s="34">
        <v>4758739.3</v>
      </c>
      <c r="I50" s="34">
        <v>0</v>
      </c>
      <c r="J50" s="34">
        <v>0</v>
      </c>
      <c r="K50" s="34">
        <v>25379087</v>
      </c>
    </row>
    <row r="51" spans="1:11" ht="15" customHeight="1" x14ac:dyDescent="0.25">
      <c r="A51" s="33"/>
      <c r="B51" s="33" t="s">
        <v>144</v>
      </c>
      <c r="C51" s="34">
        <v>267203</v>
      </c>
      <c r="D51" s="34">
        <v>317872555</v>
      </c>
      <c r="E51" s="34">
        <v>-132814431.56999999</v>
      </c>
      <c r="F51" s="34">
        <v>2593953472.98</v>
      </c>
      <c r="G51" s="34">
        <v>2111199531.0699999</v>
      </c>
      <c r="H51" s="34">
        <v>376633388.39999998</v>
      </c>
      <c r="I51" s="34">
        <v>-2477774.7599999998</v>
      </c>
      <c r="J51" s="34">
        <v>0</v>
      </c>
      <c r="K51" s="34">
        <v>-29171652.82</v>
      </c>
    </row>
    <row r="52" spans="1:11" ht="15" customHeight="1" x14ac:dyDescent="0.25">
      <c r="A52" s="33">
        <v>4</v>
      </c>
      <c r="B52" s="33" t="s">
        <v>145</v>
      </c>
      <c r="C52" s="34">
        <v>13492</v>
      </c>
      <c r="D52" s="34">
        <v>48527153</v>
      </c>
      <c r="E52" s="34">
        <v>979163001.65999997</v>
      </c>
      <c r="F52" s="34">
        <v>272799957.49000001</v>
      </c>
      <c r="G52" s="34">
        <v>78442734.340000004</v>
      </c>
      <c r="H52" s="34">
        <v>152753672.34</v>
      </c>
      <c r="I52" s="34">
        <v>200807.96</v>
      </c>
      <c r="J52" s="34">
        <v>0</v>
      </c>
      <c r="K52" s="34">
        <v>1020967360.4299999</v>
      </c>
    </row>
    <row r="53" spans="1:11" ht="15" customHeight="1" x14ac:dyDescent="0.25">
      <c r="A53" s="33">
        <v>5</v>
      </c>
      <c r="B53" s="33" t="s">
        <v>5</v>
      </c>
      <c r="C53" s="34">
        <v>99192</v>
      </c>
      <c r="D53" s="34">
        <v>168792969</v>
      </c>
      <c r="E53" s="34">
        <v>-22582241.07</v>
      </c>
      <c r="F53" s="34">
        <v>234363026.77000001</v>
      </c>
      <c r="G53" s="34">
        <v>168649386.06</v>
      </c>
      <c r="H53" s="34">
        <v>27290415.550000001</v>
      </c>
      <c r="I53" s="34">
        <v>-796393.56</v>
      </c>
      <c r="J53" s="34">
        <v>0</v>
      </c>
      <c r="K53" s="34">
        <v>15044590.529999999</v>
      </c>
    </row>
    <row r="54" spans="1:11" ht="15" customHeight="1" x14ac:dyDescent="0.25">
      <c r="A54" s="33">
        <v>6</v>
      </c>
      <c r="B54" s="33" t="s">
        <v>146</v>
      </c>
      <c r="C54" s="34">
        <v>6456</v>
      </c>
      <c r="D54" s="34">
        <v>15223858</v>
      </c>
      <c r="E54" s="34">
        <v>113139182.73999999</v>
      </c>
      <c r="F54" s="34">
        <v>98874088.390000001</v>
      </c>
      <c r="G54" s="34">
        <v>71694102.209999993</v>
      </c>
      <c r="H54" s="34">
        <v>16941795.59</v>
      </c>
      <c r="I54" s="34">
        <v>-146960.23000000001</v>
      </c>
      <c r="J54" s="34">
        <v>0</v>
      </c>
      <c r="K54" s="34">
        <v>123230413.09999999</v>
      </c>
    </row>
    <row r="55" spans="1:11" ht="15" customHeight="1" x14ac:dyDescent="0.25">
      <c r="A55" s="33">
        <v>7</v>
      </c>
      <c r="B55" s="33" t="s">
        <v>147</v>
      </c>
      <c r="C55" s="34">
        <v>135936</v>
      </c>
      <c r="D55" s="34">
        <v>254352</v>
      </c>
      <c r="E55" s="34">
        <v>282473331.19</v>
      </c>
      <c r="F55" s="34">
        <v>4556484.72</v>
      </c>
      <c r="G55" s="34">
        <v>9439530.5</v>
      </c>
      <c r="H55" s="34">
        <v>2520494.13</v>
      </c>
      <c r="I55" s="34">
        <v>19784981.780000001</v>
      </c>
      <c r="J55" s="34">
        <v>0</v>
      </c>
      <c r="K55" s="34">
        <v>294854773.06</v>
      </c>
    </row>
    <row r="56" spans="1:11" ht="15" customHeight="1" x14ac:dyDescent="0.25">
      <c r="A56" s="33">
        <v>8</v>
      </c>
      <c r="B56" s="33" t="s">
        <v>148</v>
      </c>
      <c r="C56" s="34">
        <v>4324</v>
      </c>
      <c r="D56" s="34">
        <v>0</v>
      </c>
      <c r="E56" s="34">
        <v>1332331.42</v>
      </c>
      <c r="F56" s="34">
        <v>1389112.42</v>
      </c>
      <c r="G56" s="34">
        <v>567985.43999999994</v>
      </c>
      <c r="H56" s="34">
        <v>568145.06000000006</v>
      </c>
      <c r="I56" s="34">
        <v>-10650.08</v>
      </c>
      <c r="J56" s="34">
        <v>0</v>
      </c>
      <c r="K56" s="34">
        <v>1574663.26</v>
      </c>
    </row>
    <row r="57" spans="1:11" ht="15" customHeight="1" x14ac:dyDescent="0.25">
      <c r="A57" s="33">
        <v>9</v>
      </c>
      <c r="B57" s="33" t="s">
        <v>149</v>
      </c>
      <c r="C57" s="34">
        <v>2216</v>
      </c>
      <c r="D57" s="34">
        <v>740096</v>
      </c>
      <c r="E57" s="34">
        <v>53130210.409999996</v>
      </c>
      <c r="F57" s="34">
        <v>4073417.13</v>
      </c>
      <c r="G57" s="34">
        <v>3613576.49</v>
      </c>
      <c r="H57" s="34">
        <v>-29470.62</v>
      </c>
      <c r="I57" s="34">
        <v>0</v>
      </c>
      <c r="J57" s="34">
        <v>0</v>
      </c>
      <c r="K57" s="34">
        <v>53619521.670000002</v>
      </c>
    </row>
    <row r="58" spans="1:11" ht="15" customHeight="1" x14ac:dyDescent="0.25">
      <c r="A58" s="33">
        <v>10</v>
      </c>
      <c r="B58" s="33" t="s">
        <v>179</v>
      </c>
      <c r="C58" s="34">
        <v>0</v>
      </c>
      <c r="D58" s="34">
        <v>0</v>
      </c>
      <c r="E58" s="34">
        <v>-747024.08</v>
      </c>
      <c r="F58" s="34">
        <v>0</v>
      </c>
      <c r="G58" s="34">
        <v>806193.65</v>
      </c>
      <c r="H58" s="34">
        <v>-910101.61</v>
      </c>
      <c r="I58" s="34">
        <v>0</v>
      </c>
      <c r="J58" s="34">
        <v>0</v>
      </c>
      <c r="K58" s="34">
        <v>-643116.12</v>
      </c>
    </row>
    <row r="59" spans="1:11" ht="15" customHeight="1" x14ac:dyDescent="0.25">
      <c r="A59" s="33">
        <v>11</v>
      </c>
      <c r="B59" s="33" t="s">
        <v>180</v>
      </c>
      <c r="C59" s="34">
        <v>2784347</v>
      </c>
      <c r="D59" s="34">
        <v>1101621900</v>
      </c>
      <c r="E59" s="34">
        <v>1387782109.27</v>
      </c>
      <c r="F59" s="34">
        <v>6750776772.1099997</v>
      </c>
      <c r="G59" s="34">
        <v>5276480594.8699999</v>
      </c>
      <c r="H59" s="34">
        <v>1056371631.98</v>
      </c>
      <c r="I59" s="34">
        <v>-19774331.699999999</v>
      </c>
      <c r="J59" s="34">
        <v>0</v>
      </c>
      <c r="K59" s="34">
        <v>1785932322.8299999</v>
      </c>
    </row>
    <row r="60" spans="1:11" ht="15" customHeight="1" x14ac:dyDescent="0.25">
      <c r="A60" s="33">
        <v>12</v>
      </c>
      <c r="B60" s="33" t="s">
        <v>164</v>
      </c>
      <c r="C60" s="34">
        <v>140260</v>
      </c>
      <c r="D60" s="34">
        <v>254352</v>
      </c>
      <c r="E60" s="34">
        <v>283805662.61000001</v>
      </c>
      <c r="F60" s="34">
        <v>5945597.1399999997</v>
      </c>
      <c r="G60" s="34">
        <v>10007515.939999999</v>
      </c>
      <c r="H60" s="34">
        <v>3088639.19</v>
      </c>
      <c r="I60" s="34">
        <v>19774331.699999999</v>
      </c>
      <c r="J60" s="34">
        <v>0</v>
      </c>
      <c r="K60" s="34">
        <v>296429436.31999999</v>
      </c>
    </row>
    <row r="61" spans="1:11" ht="15" customHeight="1" x14ac:dyDescent="0.25">
      <c r="A61" s="33">
        <v>13</v>
      </c>
      <c r="B61" s="33" t="s">
        <v>152</v>
      </c>
      <c r="C61" s="34">
        <v>8792</v>
      </c>
      <c r="D61" s="34">
        <v>9670530</v>
      </c>
      <c r="E61" s="34">
        <v>76573264.980000004</v>
      </c>
      <c r="F61" s="34">
        <v>102388145.14</v>
      </c>
      <c r="G61" s="34">
        <v>95233532.769999996</v>
      </c>
      <c r="H61" s="34">
        <v>4729268.68</v>
      </c>
      <c r="I61" s="34">
        <v>0</v>
      </c>
      <c r="J61" s="34">
        <v>0</v>
      </c>
      <c r="K61" s="34">
        <v>78998608.670000002</v>
      </c>
    </row>
    <row r="62" spans="1:11" ht="15" customHeight="1" x14ac:dyDescent="0.25">
      <c r="A62" s="33">
        <v>14</v>
      </c>
      <c r="B62" s="33" t="s">
        <v>153</v>
      </c>
      <c r="C62" s="34">
        <v>2933399</v>
      </c>
      <c r="D62" s="34">
        <v>1111546782</v>
      </c>
      <c r="E62" s="34">
        <v>1748161036.8599999</v>
      </c>
      <c r="F62" s="34">
        <v>6859110514.3900003</v>
      </c>
      <c r="G62" s="34">
        <v>5381721643.5799999</v>
      </c>
      <c r="H62" s="34">
        <v>1064189539.85</v>
      </c>
      <c r="I62" s="34">
        <v>0</v>
      </c>
      <c r="J62" s="34">
        <v>0</v>
      </c>
      <c r="K62" s="34">
        <v>2161360367.8200002</v>
      </c>
    </row>
    <row r="63" spans="1:11" ht="15" customHeight="1" x14ac:dyDescent="0.25">
      <c r="A63" s="32" t="s">
        <v>140</v>
      </c>
      <c r="B63" s="32"/>
      <c r="C63" s="32"/>
      <c r="D63" s="32"/>
      <c r="E63" s="32"/>
      <c r="F63" s="32"/>
      <c r="G63" s="32"/>
      <c r="H63" s="32"/>
      <c r="I63" s="32"/>
      <c r="J63" s="32"/>
      <c r="K63" s="32"/>
    </row>
    <row r="64" spans="1:11" ht="15" customHeight="1" x14ac:dyDescent="0.25">
      <c r="A64" s="32" t="s">
        <v>181</v>
      </c>
      <c r="B64" s="32"/>
      <c r="C64" s="32"/>
      <c r="D64" s="32"/>
      <c r="E64" s="32"/>
      <c r="F64" s="32"/>
      <c r="G64" s="32"/>
      <c r="H64" s="32"/>
      <c r="I64" s="32"/>
      <c r="J64" s="32"/>
      <c r="K64" s="32"/>
    </row>
    <row r="65" spans="1:11" ht="15" customHeight="1" x14ac:dyDescent="0.25">
      <c r="A65" s="32" t="s">
        <v>140</v>
      </c>
      <c r="B65" s="32"/>
      <c r="C65" s="32"/>
      <c r="D65" s="32"/>
      <c r="E65" s="32"/>
      <c r="F65" s="32"/>
      <c r="G65" s="32"/>
      <c r="H65" s="32"/>
      <c r="I65" s="32"/>
      <c r="J65" s="32"/>
      <c r="K65" s="32"/>
    </row>
    <row r="66" spans="1:11" ht="15" customHeight="1" x14ac:dyDescent="0.3">
      <c r="A66" s="30" t="s">
        <v>129</v>
      </c>
      <c r="B66" s="30" t="s">
        <v>130</v>
      </c>
      <c r="C66" s="31" t="s">
        <v>179</v>
      </c>
      <c r="D66" s="31" t="s">
        <v>182</v>
      </c>
      <c r="E66" s="31" t="s">
        <v>183</v>
      </c>
      <c r="F66" s="31" t="s">
        <v>184</v>
      </c>
      <c r="G66" s="31" t="s">
        <v>185</v>
      </c>
      <c r="H66" s="31" t="s">
        <v>186</v>
      </c>
      <c r="I66" s="31" t="s">
        <v>187</v>
      </c>
      <c r="J66" s="31" t="s">
        <v>188</v>
      </c>
      <c r="K66" s="34"/>
    </row>
    <row r="67" spans="1:11" ht="15" customHeight="1" x14ac:dyDescent="0.3">
      <c r="A67" s="33"/>
      <c r="B67" s="33"/>
      <c r="C67" s="31" t="s">
        <v>189</v>
      </c>
      <c r="D67" s="31" t="s">
        <v>190</v>
      </c>
      <c r="E67" s="31" t="s">
        <v>191</v>
      </c>
      <c r="F67" s="31" t="s">
        <v>192</v>
      </c>
      <c r="G67" s="31" t="s">
        <v>193</v>
      </c>
      <c r="H67" s="31" t="s">
        <v>163</v>
      </c>
      <c r="I67" s="31" t="s">
        <v>194</v>
      </c>
      <c r="J67" s="31" t="s">
        <v>195</v>
      </c>
      <c r="K67" s="31" t="s">
        <v>144</v>
      </c>
    </row>
    <row r="68" spans="1:11" ht="15" customHeight="1" x14ac:dyDescent="0.25">
      <c r="A68" s="32" t="s">
        <v>140</v>
      </c>
      <c r="B68" s="32"/>
      <c r="C68" s="32"/>
      <c r="D68" s="32"/>
      <c r="E68" s="32"/>
      <c r="F68" s="32"/>
      <c r="G68" s="32"/>
      <c r="H68" s="32"/>
      <c r="I68" s="32"/>
      <c r="J68" s="32"/>
      <c r="K68" s="32"/>
    </row>
    <row r="69" spans="1:11" ht="15" customHeight="1" x14ac:dyDescent="0.25">
      <c r="A69" s="33">
        <v>1</v>
      </c>
      <c r="B69" s="33" t="s">
        <v>2</v>
      </c>
      <c r="C69" s="34">
        <v>676896.21</v>
      </c>
      <c r="D69" s="34">
        <v>396889374.73000002</v>
      </c>
      <c r="E69" s="34">
        <v>52620828.579999998</v>
      </c>
      <c r="F69" s="34">
        <v>-11156.78</v>
      </c>
      <c r="G69" s="34">
        <v>22613993.010000002</v>
      </c>
      <c r="H69" s="34">
        <v>0</v>
      </c>
      <c r="I69" s="34">
        <v>0</v>
      </c>
      <c r="J69" s="34">
        <v>0</v>
      </c>
      <c r="K69" s="34">
        <v>472789935.75</v>
      </c>
    </row>
    <row r="70" spans="1:11" ht="15" customHeight="1" x14ac:dyDescent="0.25">
      <c r="A70" s="33">
        <v>2</v>
      </c>
      <c r="B70" s="33" t="s">
        <v>141</v>
      </c>
      <c r="C70" s="34">
        <v>510</v>
      </c>
      <c r="D70" s="34">
        <v>3998473.44</v>
      </c>
      <c r="E70" s="34">
        <v>2756635.8</v>
      </c>
      <c r="F70" s="34">
        <v>0</v>
      </c>
      <c r="G70" s="34">
        <v>1144315.07</v>
      </c>
      <c r="H70" s="34">
        <v>7701400.0800000001</v>
      </c>
      <c r="I70" s="34">
        <v>0</v>
      </c>
      <c r="J70" s="34">
        <v>29930.87</v>
      </c>
      <c r="K70" s="34">
        <v>15631265.26</v>
      </c>
    </row>
    <row r="71" spans="1:11" ht="15" customHeight="1" x14ac:dyDescent="0.25">
      <c r="A71" s="33">
        <v>3</v>
      </c>
      <c r="B71" s="33" t="s">
        <v>142</v>
      </c>
      <c r="C71" s="34">
        <v>213935.94</v>
      </c>
      <c r="D71" s="34">
        <v>169089710.22999999</v>
      </c>
      <c r="E71" s="34">
        <v>70601060.400000006</v>
      </c>
      <c r="F71" s="34">
        <v>120635842.39</v>
      </c>
      <c r="G71" s="34">
        <v>11334100.140000001</v>
      </c>
      <c r="H71" s="34">
        <v>0</v>
      </c>
      <c r="I71" s="34">
        <v>0</v>
      </c>
      <c r="J71" s="34">
        <v>0</v>
      </c>
      <c r="K71" s="34">
        <v>371874649.10000002</v>
      </c>
    </row>
    <row r="72" spans="1:11" ht="15" customHeight="1" x14ac:dyDescent="0.25">
      <c r="A72" s="33"/>
      <c r="B72" s="33" t="s">
        <v>143</v>
      </c>
      <c r="C72" s="34"/>
      <c r="D72" s="34">
        <v>1889298.78</v>
      </c>
      <c r="E72" s="34">
        <v>2864053.84</v>
      </c>
      <c r="F72" s="34">
        <v>5386.68</v>
      </c>
      <c r="G72" s="34"/>
      <c r="H72" s="34"/>
      <c r="I72" s="34"/>
      <c r="J72" s="34"/>
      <c r="K72" s="34">
        <v>4758739.3</v>
      </c>
    </row>
    <row r="73" spans="1:11" ht="15" customHeight="1" x14ac:dyDescent="0.25">
      <c r="A73" s="33"/>
      <c r="B73" s="33" t="s">
        <v>144</v>
      </c>
      <c r="C73" s="34">
        <v>213935.94</v>
      </c>
      <c r="D73" s="34">
        <v>170979009.00999999</v>
      </c>
      <c r="E73" s="34">
        <v>73465114.239999995</v>
      </c>
      <c r="F73" s="34">
        <v>120641229.06999999</v>
      </c>
      <c r="G73" s="34">
        <v>11334100.140000001</v>
      </c>
      <c r="H73" s="34">
        <v>0</v>
      </c>
      <c r="I73" s="34">
        <v>0</v>
      </c>
      <c r="J73" s="34">
        <v>0</v>
      </c>
      <c r="K73" s="34">
        <v>376633388.39999998</v>
      </c>
    </row>
    <row r="74" spans="1:11" ht="15" customHeight="1" x14ac:dyDescent="0.25">
      <c r="A74" s="33">
        <v>4</v>
      </c>
      <c r="B74" s="33" t="s">
        <v>145</v>
      </c>
      <c r="C74" s="34">
        <v>0</v>
      </c>
      <c r="D74" s="34">
        <v>11034658.880000001</v>
      </c>
      <c r="E74" s="34">
        <v>4158318.73</v>
      </c>
      <c r="F74" s="34">
        <v>4259002.55</v>
      </c>
      <c r="G74" s="34">
        <v>2660400.7999999998</v>
      </c>
      <c r="H74" s="34">
        <v>130641291.38</v>
      </c>
      <c r="I74" s="34">
        <v>0</v>
      </c>
      <c r="J74" s="34">
        <v>0</v>
      </c>
      <c r="K74" s="34">
        <v>152753672.34</v>
      </c>
    </row>
    <row r="75" spans="1:11" ht="15" customHeight="1" x14ac:dyDescent="0.25">
      <c r="A75" s="33">
        <v>5</v>
      </c>
      <c r="B75" s="33" t="s">
        <v>5</v>
      </c>
      <c r="C75" s="34">
        <v>3944</v>
      </c>
      <c r="D75" s="34">
        <v>7038904.7400000002</v>
      </c>
      <c r="E75" s="34">
        <v>16782524.280000001</v>
      </c>
      <c r="F75" s="34">
        <v>0</v>
      </c>
      <c r="G75" s="34">
        <v>3465042.53</v>
      </c>
      <c r="H75" s="34">
        <v>0</v>
      </c>
      <c r="I75" s="34">
        <v>0</v>
      </c>
      <c r="J75" s="34">
        <v>0</v>
      </c>
      <c r="K75" s="34">
        <v>27290415.550000001</v>
      </c>
    </row>
    <row r="76" spans="1:11" ht="15" customHeight="1" x14ac:dyDescent="0.25">
      <c r="A76" s="33">
        <v>6</v>
      </c>
      <c r="B76" s="33" t="s">
        <v>146</v>
      </c>
      <c r="C76" s="34">
        <v>14815.46</v>
      </c>
      <c r="D76" s="34">
        <v>14875892.949999999</v>
      </c>
      <c r="E76" s="34">
        <v>1945850.05</v>
      </c>
      <c r="F76" s="34">
        <v>-36525.760000000002</v>
      </c>
      <c r="G76" s="34">
        <v>141762.89000000001</v>
      </c>
      <c r="H76" s="34">
        <v>0</v>
      </c>
      <c r="I76" s="34">
        <v>0</v>
      </c>
      <c r="J76" s="34">
        <v>0</v>
      </c>
      <c r="K76" s="34">
        <v>16941795.59</v>
      </c>
    </row>
    <row r="77" spans="1:11" ht="15" customHeight="1" x14ac:dyDescent="0.25">
      <c r="A77" s="33">
        <v>7</v>
      </c>
      <c r="B77" s="33" t="s">
        <v>147</v>
      </c>
      <c r="C77" s="34">
        <v>0</v>
      </c>
      <c r="D77" s="34">
        <v>1409218.22</v>
      </c>
      <c r="E77" s="34">
        <v>1097712.6200000001</v>
      </c>
      <c r="F77" s="34">
        <v>1805.77</v>
      </c>
      <c r="G77" s="34">
        <v>0</v>
      </c>
      <c r="H77" s="34">
        <v>658.4</v>
      </c>
      <c r="I77" s="34">
        <v>0</v>
      </c>
      <c r="J77" s="34">
        <v>11099.12</v>
      </c>
      <c r="K77" s="34">
        <v>2520494.13</v>
      </c>
    </row>
    <row r="78" spans="1:11" ht="15" customHeight="1" x14ac:dyDescent="0.25">
      <c r="A78" s="33">
        <v>8</v>
      </c>
      <c r="B78" s="33" t="s">
        <v>148</v>
      </c>
      <c r="C78" s="34">
        <v>0</v>
      </c>
      <c r="D78" s="34">
        <v>1704.02</v>
      </c>
      <c r="E78" s="34">
        <v>549022.04</v>
      </c>
      <c r="F78" s="34">
        <v>17419</v>
      </c>
      <c r="G78" s="34">
        <v>0</v>
      </c>
      <c r="H78" s="34">
        <v>0</v>
      </c>
      <c r="I78" s="34">
        <v>0</v>
      </c>
      <c r="J78" s="34">
        <v>0</v>
      </c>
      <c r="K78" s="34">
        <v>568145.06000000006</v>
      </c>
    </row>
    <row r="79" spans="1:11" ht="15" customHeight="1" x14ac:dyDescent="0.25">
      <c r="A79" s="33">
        <v>9</v>
      </c>
      <c r="B79" s="33" t="s">
        <v>149</v>
      </c>
      <c r="C79" s="34"/>
      <c r="D79" s="34">
        <v>4579.8</v>
      </c>
      <c r="E79" s="34">
        <v>-34050.42</v>
      </c>
      <c r="F79" s="34">
        <v>0</v>
      </c>
      <c r="G79" s="34"/>
      <c r="H79" s="34"/>
      <c r="I79" s="34"/>
      <c r="J79" s="34"/>
      <c r="K79" s="34">
        <v>-29470.62</v>
      </c>
    </row>
    <row r="80" spans="1:11" ht="15" customHeight="1" x14ac:dyDescent="0.25">
      <c r="A80" s="33">
        <v>10</v>
      </c>
      <c r="B80" s="33" t="s">
        <v>179</v>
      </c>
      <c r="C80" s="34">
        <v>-910101.61</v>
      </c>
      <c r="D80" s="34">
        <v>0</v>
      </c>
      <c r="E80" s="34">
        <v>0</v>
      </c>
      <c r="F80" s="34">
        <v>0</v>
      </c>
      <c r="G80" s="34">
        <v>0</v>
      </c>
      <c r="H80" s="34">
        <v>0</v>
      </c>
      <c r="I80" s="34">
        <v>0</v>
      </c>
      <c r="J80" s="34">
        <v>0</v>
      </c>
      <c r="K80" s="34">
        <v>-910101.61</v>
      </c>
    </row>
    <row r="81" spans="1:13" ht="15" customHeight="1" x14ac:dyDescent="0.25">
      <c r="A81" s="33">
        <v>11</v>
      </c>
      <c r="B81" s="33" t="s">
        <v>150</v>
      </c>
      <c r="C81" s="34">
        <v>0</v>
      </c>
      <c r="D81" s="34">
        <v>602927014.97000003</v>
      </c>
      <c r="E81" s="34">
        <v>148865217.84</v>
      </c>
      <c r="F81" s="34">
        <v>124847162.40000001</v>
      </c>
      <c r="G81" s="34">
        <v>41359614.439999998</v>
      </c>
      <c r="H81" s="34">
        <v>138342691.46000001</v>
      </c>
      <c r="I81" s="34">
        <v>0</v>
      </c>
      <c r="J81" s="34">
        <v>29930.87</v>
      </c>
      <c r="K81" s="34">
        <v>1056371631.98</v>
      </c>
    </row>
    <row r="82" spans="1:13" ht="15" customHeight="1" x14ac:dyDescent="0.25">
      <c r="A82" s="33">
        <v>12</v>
      </c>
      <c r="B82" s="33" t="s">
        <v>164</v>
      </c>
      <c r="C82" s="34">
        <v>0</v>
      </c>
      <c r="D82" s="34">
        <v>1410922.24</v>
      </c>
      <c r="E82" s="34">
        <v>1646734.66</v>
      </c>
      <c r="F82" s="34">
        <v>19224.77</v>
      </c>
      <c r="G82" s="34">
        <v>0</v>
      </c>
      <c r="H82" s="34">
        <v>658.4</v>
      </c>
      <c r="I82" s="34">
        <v>0</v>
      </c>
      <c r="J82" s="34">
        <v>11099.12</v>
      </c>
      <c r="K82" s="34">
        <v>3088639.19</v>
      </c>
    </row>
    <row r="83" spans="1:13" ht="15" customHeight="1" x14ac:dyDescent="0.25">
      <c r="A83" s="33">
        <v>13</v>
      </c>
      <c r="B83" s="33" t="s">
        <v>152</v>
      </c>
      <c r="C83" s="34">
        <v>0</v>
      </c>
      <c r="D83" s="34">
        <v>1893878.58</v>
      </c>
      <c r="E83" s="34">
        <v>2830003.42</v>
      </c>
      <c r="F83" s="34">
        <v>5386.68</v>
      </c>
      <c r="G83" s="34">
        <v>0</v>
      </c>
      <c r="H83" s="34">
        <v>0</v>
      </c>
      <c r="I83" s="34">
        <v>0</v>
      </c>
      <c r="J83" s="34">
        <v>0</v>
      </c>
      <c r="K83" s="34">
        <v>4729268.68</v>
      </c>
    </row>
    <row r="84" spans="1:13" ht="15" customHeight="1" x14ac:dyDescent="0.25">
      <c r="A84" s="33">
        <v>14</v>
      </c>
      <c r="B84" s="33" t="s">
        <v>153</v>
      </c>
      <c r="C84" s="34">
        <v>0</v>
      </c>
      <c r="D84" s="34">
        <v>606231815.78999996</v>
      </c>
      <c r="E84" s="34">
        <v>153341955.91999999</v>
      </c>
      <c r="F84" s="34">
        <v>124871773.84999999</v>
      </c>
      <c r="G84" s="34">
        <v>41359614.439999998</v>
      </c>
      <c r="H84" s="34">
        <v>138343349.86000001</v>
      </c>
      <c r="I84" s="34">
        <v>0</v>
      </c>
      <c r="J84" s="34">
        <v>41029.99</v>
      </c>
      <c r="K84" s="34">
        <v>1064189539.85</v>
      </c>
    </row>
    <row r="85" spans="1:13" ht="15" customHeight="1" x14ac:dyDescent="0.25">
      <c r="A85" s="32" t="s">
        <v>140</v>
      </c>
      <c r="B85" s="32"/>
      <c r="C85" s="32"/>
      <c r="D85" s="32"/>
      <c r="E85" s="32"/>
      <c r="F85" s="32"/>
      <c r="G85" s="32"/>
      <c r="H85" s="32"/>
      <c r="I85" s="32"/>
      <c r="J85" s="32"/>
      <c r="K85" s="32"/>
    </row>
    <row r="93" spans="1:13" ht="15" customHeight="1" x14ac:dyDescent="0.25">
      <c r="B93" s="37" t="s">
        <v>196</v>
      </c>
      <c r="C93" s="37"/>
      <c r="D93" s="37"/>
      <c r="E93" s="37"/>
      <c r="F93" s="37"/>
    </row>
    <row r="94" spans="1:13" ht="15" customHeight="1" x14ac:dyDescent="0.25">
      <c r="B94" s="38"/>
      <c r="C94" s="38"/>
      <c r="D94" s="38"/>
      <c r="E94" s="38"/>
      <c r="F94" s="38"/>
    </row>
    <row r="95" spans="1:13" ht="15" customHeight="1" x14ac:dyDescent="0.25">
      <c r="B95" s="37" t="s">
        <v>197</v>
      </c>
      <c r="C95" s="37"/>
      <c r="D95" s="37"/>
      <c r="E95" s="37"/>
      <c r="F95" s="37"/>
      <c r="G95" s="37"/>
      <c r="H95" s="37"/>
      <c r="I95" s="37"/>
      <c r="J95" s="37"/>
      <c r="K95" s="37"/>
      <c r="L95" s="37"/>
      <c r="M95" s="37"/>
    </row>
    <row r="96" spans="1:13" ht="15" customHeight="1" x14ac:dyDescent="0.25">
      <c r="B96" s="39" t="s">
        <v>198</v>
      </c>
      <c r="C96" s="40" t="s">
        <v>199</v>
      </c>
      <c r="D96" s="38" t="s">
        <v>200</v>
      </c>
      <c r="E96" s="38" t="s">
        <v>201</v>
      </c>
      <c r="F96" s="38" t="s">
        <v>202</v>
      </c>
      <c r="G96" s="38" t="s">
        <v>203</v>
      </c>
      <c r="H96" s="38" t="s">
        <v>204</v>
      </c>
      <c r="I96" s="38" t="s">
        <v>205</v>
      </c>
      <c r="J96" s="38" t="s">
        <v>206</v>
      </c>
      <c r="K96" s="38" t="s">
        <v>207</v>
      </c>
      <c r="L96" s="38" t="s">
        <v>208</v>
      </c>
      <c r="M96" s="38"/>
    </row>
    <row r="97" spans="2:13" ht="15" customHeight="1" x14ac:dyDescent="0.25">
      <c r="B97" s="37" t="s">
        <v>197</v>
      </c>
      <c r="C97" s="37"/>
      <c r="D97" s="37"/>
      <c r="E97" s="37"/>
      <c r="F97" s="37"/>
      <c r="G97" s="37"/>
      <c r="H97" s="37"/>
      <c r="I97" s="37"/>
      <c r="J97" s="37"/>
      <c r="K97" s="37"/>
      <c r="L97" s="37"/>
      <c r="M97" s="37"/>
    </row>
    <row r="98" spans="2:13" ht="15" customHeight="1" x14ac:dyDescent="0.25">
      <c r="B98" s="39">
        <v>1</v>
      </c>
      <c r="C98" s="40" t="s">
        <v>209</v>
      </c>
      <c r="D98" s="38">
        <v>692603720.38999999</v>
      </c>
      <c r="E98" s="38">
        <v>4495794941.0500002</v>
      </c>
      <c r="F98" s="38">
        <v>228089997.05000001</v>
      </c>
      <c r="G98" s="38">
        <v>1203211432.4200001</v>
      </c>
      <c r="H98" s="38">
        <v>0</v>
      </c>
      <c r="I98" s="38">
        <v>6730906.5899999999</v>
      </c>
      <c r="J98" s="38">
        <v>53726118.039999999</v>
      </c>
      <c r="K98" s="38">
        <v>-63618893.590000004</v>
      </c>
      <c r="L98" s="38">
        <v>-11142206.23</v>
      </c>
      <c r="M98" s="38"/>
    </row>
    <row r="99" spans="2:13" ht="15" customHeight="1" x14ac:dyDescent="0.25">
      <c r="B99" s="39">
        <v>2</v>
      </c>
      <c r="C99" s="40" t="s">
        <v>210</v>
      </c>
      <c r="D99" s="38">
        <v>46307680</v>
      </c>
      <c r="E99" s="38">
        <v>454218764.30000001</v>
      </c>
      <c r="F99" s="38">
        <v>0</v>
      </c>
      <c r="G99" s="38">
        <v>109229986.54000001</v>
      </c>
      <c r="H99" s="38">
        <v>0</v>
      </c>
      <c r="I99" s="38">
        <v>0</v>
      </c>
      <c r="J99" s="38">
        <v>0</v>
      </c>
      <c r="K99" s="38">
        <v>-7437025.4000000004</v>
      </c>
      <c r="L99" s="38">
        <v>-4542187.6399999997</v>
      </c>
      <c r="M99" s="38"/>
    </row>
    <row r="100" spans="2:13" ht="15" customHeight="1" x14ac:dyDescent="0.25">
      <c r="B100" s="39">
        <v>3</v>
      </c>
      <c r="C100" s="40" t="s">
        <v>211</v>
      </c>
      <c r="D100" s="38">
        <v>469560</v>
      </c>
      <c r="E100" s="38">
        <v>490835.9</v>
      </c>
      <c r="F100" s="38">
        <v>0</v>
      </c>
      <c r="G100" s="38">
        <v>0</v>
      </c>
      <c r="H100" s="38">
        <v>0</v>
      </c>
      <c r="I100" s="38">
        <v>37123.879999999997</v>
      </c>
      <c r="J100" s="38">
        <v>0</v>
      </c>
      <c r="K100" s="38">
        <v>-2045.39</v>
      </c>
      <c r="L100" s="38">
        <v>0</v>
      </c>
      <c r="M100" s="38"/>
    </row>
    <row r="101" spans="2:13" ht="15" customHeight="1" x14ac:dyDescent="0.25">
      <c r="B101" s="39">
        <v>4</v>
      </c>
      <c r="C101" s="40" t="s">
        <v>212</v>
      </c>
      <c r="D101" s="38">
        <v>0</v>
      </c>
      <c r="E101" s="38">
        <v>0</v>
      </c>
      <c r="F101" s="38">
        <v>0</v>
      </c>
      <c r="G101" s="38">
        <v>0</v>
      </c>
      <c r="H101" s="38">
        <v>0</v>
      </c>
      <c r="I101" s="38">
        <v>0</v>
      </c>
      <c r="J101" s="38">
        <v>0</v>
      </c>
      <c r="K101" s="38">
        <v>0</v>
      </c>
      <c r="L101" s="38">
        <v>0</v>
      </c>
      <c r="M101" s="38"/>
    </row>
    <row r="102" spans="2:13" ht="15" customHeight="1" x14ac:dyDescent="0.25">
      <c r="B102" s="39">
        <v>5</v>
      </c>
      <c r="C102" s="40" t="s">
        <v>213</v>
      </c>
      <c r="D102" s="38">
        <v>0</v>
      </c>
      <c r="E102" s="38">
        <v>0</v>
      </c>
      <c r="F102" s="38">
        <v>0</v>
      </c>
      <c r="G102" s="38">
        <v>0</v>
      </c>
      <c r="H102" s="38">
        <v>0</v>
      </c>
      <c r="I102" s="38">
        <v>0</v>
      </c>
      <c r="J102" s="38">
        <v>0</v>
      </c>
      <c r="K102" s="38">
        <v>0</v>
      </c>
      <c r="L102" s="38">
        <v>0</v>
      </c>
      <c r="M102" s="38"/>
    </row>
    <row r="103" spans="2:13" ht="15" customHeight="1" x14ac:dyDescent="0.25">
      <c r="B103" s="39">
        <v>6</v>
      </c>
      <c r="C103" s="40" t="s">
        <v>214</v>
      </c>
      <c r="D103" s="38">
        <v>0</v>
      </c>
      <c r="E103" s="38">
        <v>0</v>
      </c>
      <c r="F103" s="38">
        <v>0</v>
      </c>
      <c r="G103" s="38">
        <v>0</v>
      </c>
      <c r="H103" s="38">
        <v>0</v>
      </c>
      <c r="I103" s="38">
        <v>0</v>
      </c>
      <c r="J103" s="38">
        <v>0</v>
      </c>
      <c r="K103" s="38">
        <v>0</v>
      </c>
      <c r="L103" s="38">
        <v>0</v>
      </c>
      <c r="M103" s="38"/>
    </row>
    <row r="104" spans="2:13" ht="15" customHeight="1" x14ac:dyDescent="0.25">
      <c r="B104" s="39">
        <v>7</v>
      </c>
      <c r="C104" s="40" t="s">
        <v>215</v>
      </c>
      <c r="D104" s="38">
        <v>0</v>
      </c>
      <c r="E104" s="38">
        <v>0</v>
      </c>
      <c r="F104" s="38">
        <v>0</v>
      </c>
      <c r="G104" s="38">
        <v>0</v>
      </c>
      <c r="H104" s="38">
        <v>0</v>
      </c>
      <c r="I104" s="38">
        <v>0</v>
      </c>
      <c r="J104" s="38">
        <v>0</v>
      </c>
      <c r="K104" s="38">
        <v>0</v>
      </c>
      <c r="L104" s="38">
        <v>0</v>
      </c>
      <c r="M104" s="38"/>
    </row>
    <row r="105" spans="2:13" ht="15" customHeight="1" x14ac:dyDescent="0.25">
      <c r="B105" s="39">
        <v>8</v>
      </c>
      <c r="C105" s="40" t="s">
        <v>216</v>
      </c>
      <c r="D105" s="38">
        <v>0</v>
      </c>
      <c r="E105" s="38">
        <v>0</v>
      </c>
      <c r="F105" s="38">
        <v>0</v>
      </c>
      <c r="G105" s="38">
        <v>0</v>
      </c>
      <c r="H105" s="38">
        <v>0</v>
      </c>
      <c r="I105" s="38">
        <v>0</v>
      </c>
      <c r="J105" s="38">
        <v>186372.62</v>
      </c>
      <c r="K105" s="38">
        <v>0</v>
      </c>
      <c r="L105" s="38">
        <v>0</v>
      </c>
      <c r="M105" s="38"/>
    </row>
    <row r="106" spans="2:13" ht="15" customHeight="1" x14ac:dyDescent="0.25">
      <c r="B106" s="39">
        <v>9</v>
      </c>
      <c r="C106" s="40" t="s">
        <v>148</v>
      </c>
      <c r="D106" s="38">
        <v>9967895.7400000002</v>
      </c>
      <c r="E106" s="38">
        <v>0</v>
      </c>
      <c r="F106" s="38">
        <v>0</v>
      </c>
      <c r="G106" s="38">
        <v>0</v>
      </c>
      <c r="H106" s="38">
        <v>0</v>
      </c>
      <c r="I106" s="38">
        <v>0</v>
      </c>
      <c r="J106" s="38">
        <v>200288</v>
      </c>
      <c r="K106" s="38">
        <v>0</v>
      </c>
      <c r="L106" s="38">
        <v>0</v>
      </c>
      <c r="M106" s="38"/>
    </row>
    <row r="107" spans="2:13" ht="15" customHeight="1" x14ac:dyDescent="0.25">
      <c r="B107" s="39">
        <v>10</v>
      </c>
      <c r="C107" s="40" t="s">
        <v>217</v>
      </c>
      <c r="D107" s="38">
        <v>1710700</v>
      </c>
      <c r="E107" s="38">
        <v>12852778</v>
      </c>
      <c r="F107" s="38">
        <v>380456.65</v>
      </c>
      <c r="G107" s="38">
        <v>3556151.92</v>
      </c>
      <c r="H107" s="38">
        <v>0</v>
      </c>
      <c r="I107" s="38">
        <v>384611.36</v>
      </c>
      <c r="J107" s="38">
        <v>0</v>
      </c>
      <c r="K107" s="38">
        <v>-84009.48</v>
      </c>
      <c r="L107" s="38">
        <v>0</v>
      </c>
      <c r="M107" s="38"/>
    </row>
    <row r="108" spans="2:13" ht="15" customHeight="1" x14ac:dyDescent="0.25">
      <c r="B108" s="37" t="s">
        <v>197</v>
      </c>
      <c r="C108" s="37"/>
      <c r="D108" s="37"/>
      <c r="E108" s="37"/>
      <c r="F108" s="37"/>
      <c r="G108" s="37"/>
      <c r="H108" s="37"/>
      <c r="I108" s="37"/>
      <c r="J108" s="37"/>
      <c r="K108" s="37"/>
      <c r="L108" s="37"/>
      <c r="M108" s="37"/>
    </row>
    <row r="109" spans="2:13" ht="15" customHeight="1" x14ac:dyDescent="0.25">
      <c r="B109" s="41" t="s">
        <v>218</v>
      </c>
      <c r="C109" s="41"/>
      <c r="D109" s="38">
        <v>751059556.13</v>
      </c>
      <c r="E109" s="38">
        <v>4963357319.25</v>
      </c>
      <c r="F109" s="38">
        <v>228470453.69999999</v>
      </c>
      <c r="G109" s="38">
        <v>1315997570.8800001</v>
      </c>
      <c r="H109" s="38">
        <v>0</v>
      </c>
      <c r="I109" s="38">
        <v>7152641.8300000001</v>
      </c>
      <c r="J109" s="38">
        <v>54112778.659999996</v>
      </c>
      <c r="K109" s="38">
        <v>-71141973.859999999</v>
      </c>
      <c r="L109" s="38">
        <v>-15684393.869999999</v>
      </c>
      <c r="M109" s="38"/>
    </row>
    <row r="110" spans="2:13" ht="15" customHeight="1" x14ac:dyDescent="0.25">
      <c r="B110" s="37" t="s">
        <v>197</v>
      </c>
      <c r="C110" s="37"/>
      <c r="D110" s="37"/>
      <c r="E110" s="37"/>
      <c r="F110" s="37"/>
      <c r="G110" s="37"/>
      <c r="H110" s="37"/>
      <c r="I110" s="37"/>
      <c r="J110" s="37"/>
      <c r="K110" s="37"/>
      <c r="L110" s="37"/>
      <c r="M110" s="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Meter testing</vt:lpstr>
      <vt:lpstr>Sheet1</vt:lpstr>
      <vt:lpstr>'Meter testing'!Print_Area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2023-03-10T05:58:03Z</cp:lastPrinted>
  <dcterms:created xsi:type="dcterms:W3CDTF">1996-10-14T23:33:28Z</dcterms:created>
  <dcterms:modified xsi:type="dcterms:W3CDTF">2023-03-15T07:32:53Z</dcterms:modified>
</cp:coreProperties>
</file>