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activeTab="7"/>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6" r:id="rId8"/>
    <sheet name="LAB" sheetId="35" r:id="rId9"/>
    <sheet name="Sheet1" sheetId="34" state="hidden" r:id="rId10"/>
  </sheets>
  <externalReferences>
    <externalReference r:id="rId11"/>
    <externalReference r:id="rId12"/>
    <externalReference r:id="rId13"/>
  </externalReferences>
  <definedNames>
    <definedName name="_131" hidden="1">[1]zpF0001!$O$149:$O$158</definedName>
    <definedName name="_132" hidden="1">[1]zpF0001!$A$39:$CB$78</definedName>
    <definedName name="_brh1" hidden="1">{"'Sheet1'!$A$4386:$N$4591"}</definedName>
    <definedName name="_Dist_Bin"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aaa" hidden="1">#REF!</definedName>
    <definedName name="ann" hidden="1">{"'Sheet1'!$A$4386:$N$4591"}</definedName>
    <definedName name="AprilMay" hidden="1">{"'Sheet1'!$A$4386:$N$4591"}</definedName>
    <definedName name="brh" hidden="1">{"'Sheet1'!$A$4386:$N$4591"}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'[2]mpmla wise pp0001'!$A$166:$A$172</definedName>
    <definedName name="po" hidden="1">[3]zpF0001!$E$39:$E$78</definedName>
    <definedName name="_xlnm.Print_Area" localSheetId="8">LAB!$B$1:$I$12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uyuy" hidden="1">#REF!</definedName>
  </definedNames>
  <calcPr calcId="124519"/>
</workbook>
</file>

<file path=xl/calcChain.xml><?xml version="1.0" encoding="utf-8"?>
<calcChain xmlns="http://schemas.openxmlformats.org/spreadsheetml/2006/main">
  <c r="K29" i="36"/>
  <c r="E29"/>
  <c r="D29"/>
  <c r="K20"/>
  <c r="D20"/>
  <c r="H13"/>
  <c r="H22" s="1"/>
  <c r="D13"/>
  <c r="D22" s="1"/>
  <c r="K11"/>
  <c r="E11"/>
  <c r="D11"/>
  <c r="H11" i="35" l="1"/>
  <c r="E11"/>
  <c r="I10"/>
  <c r="G10"/>
  <c r="F9"/>
  <c r="F11" s="1"/>
  <c r="H7"/>
  <c r="F7"/>
  <c r="G9" l="1"/>
  <c r="G11" l="1"/>
  <c r="I9"/>
  <c r="I11" s="1"/>
  <c r="F15" i="26" l="1"/>
  <c r="D15" l="1"/>
  <c r="D14" i="33"/>
  <c r="F14"/>
  <c r="D29" i="32"/>
  <c r="D32" i="26" l="1"/>
  <c r="F17" i="24" l="1"/>
  <c r="D19" i="32" l="1"/>
  <c r="D23"/>
  <c r="D22"/>
  <c r="D24" s="1"/>
  <c r="D17" i="30"/>
  <c r="F21" i="33" l="1"/>
  <c r="F19"/>
  <c r="F18"/>
  <c r="F36" i="32"/>
  <c r="F34"/>
  <c r="F32" i="26"/>
  <c r="D23" i="33"/>
  <c r="D21"/>
  <c r="D19"/>
  <c r="D18"/>
  <c r="D38" i="32"/>
  <c r="D36"/>
  <c r="D34"/>
  <c r="D33"/>
  <c r="D27" i="24"/>
  <c r="D17"/>
  <c r="F38" i="32"/>
  <c r="F33"/>
  <c r="F29"/>
  <c r="G23" i="33"/>
  <c r="F23"/>
  <c r="G18"/>
  <c r="G22" s="1"/>
  <c r="G24" s="1"/>
  <c r="G14"/>
  <c r="G17" s="1"/>
  <c r="G25" s="1"/>
  <c r="G32" i="24" s="1"/>
  <c r="F32" s="1"/>
  <c r="F35"/>
  <c r="F22" i="33" l="1"/>
  <c r="F24" s="1"/>
  <c r="F17"/>
  <c r="F25" l="1"/>
  <c r="C32" i="31"/>
  <c r="C29"/>
  <c r="C28"/>
  <c r="C26"/>
  <c r="C25"/>
  <c r="C24"/>
  <c r="C23"/>
  <c r="C19"/>
  <c r="C14"/>
  <c r="C12"/>
  <c r="C11"/>
  <c r="D32"/>
  <c r="D29"/>
  <c r="D28"/>
  <c r="D26"/>
  <c r="D25"/>
  <c r="D24"/>
  <c r="D23"/>
  <c r="D19"/>
  <c r="D14"/>
  <c r="D13"/>
  <c r="D12"/>
  <c r="D11"/>
  <c r="H19" i="32" l="1"/>
  <c r="E32" i="30"/>
  <c r="D32"/>
  <c r="E17"/>
  <c r="E23" i="32"/>
  <c r="E21"/>
  <c r="E19"/>
  <c r="I19" s="1"/>
  <c r="E18"/>
  <c r="D17"/>
  <c r="D25" s="1"/>
  <c r="E14"/>
  <c r="E17" s="1"/>
  <c r="E22" l="1"/>
  <c r="E24" s="1"/>
  <c r="E25" s="1"/>
  <c r="G34" i="24" l="1"/>
  <c r="G37" i="32"/>
  <c r="G39" s="1"/>
  <c r="G32"/>
  <c r="G34" i="26"/>
  <c r="G33"/>
  <c r="D33" i="31"/>
  <c r="D15"/>
  <c r="F37" i="32" l="1"/>
  <c r="F39" s="1"/>
  <c r="G40"/>
  <c r="F25" i="24"/>
  <c r="H17"/>
  <c r="D35" i="31"/>
  <c r="F34" i="24"/>
  <c r="J21" i="33" l="1"/>
  <c r="K21" s="1"/>
  <c r="E26" i="31" l="1"/>
  <c r="G26" i="26"/>
  <c r="F26" s="1"/>
  <c r="E37" i="24"/>
  <c r="G25" i="26" l="1"/>
  <c r="F25" s="1"/>
  <c r="G16"/>
  <c r="F16" s="1"/>
  <c r="G17"/>
  <c r="F17" s="1"/>
  <c r="G18"/>
  <c r="F18" s="1"/>
  <c r="G19"/>
  <c r="F19" s="1"/>
  <c r="G20"/>
  <c r="F20" s="1"/>
  <c r="G21"/>
  <c r="F21" s="1"/>
  <c r="G22"/>
  <c r="F22" s="1"/>
  <c r="G27"/>
  <c r="F27" s="1"/>
  <c r="G28"/>
  <c r="F28" s="1"/>
  <c r="F30" i="32"/>
  <c r="F32" s="1"/>
  <c r="F40" s="1"/>
  <c r="G37" i="24"/>
  <c r="F37"/>
  <c r="F29" i="26" l="1"/>
  <c r="G23"/>
  <c r="G30" s="1"/>
  <c r="G29"/>
  <c r="F23"/>
  <c r="F30" s="1"/>
  <c r="F38" i="33" l="1"/>
  <c r="F29"/>
  <c r="E25" i="26" l="1"/>
  <c r="D25" s="1"/>
  <c r="H25" l="1"/>
  <c r="I25"/>
  <c r="G53" i="30" l="1"/>
  <c r="G51"/>
  <c r="G49"/>
  <c r="G48"/>
  <c r="G44"/>
  <c r="D53"/>
  <c r="D51"/>
  <c r="D49"/>
  <c r="D48"/>
  <c r="E49"/>
  <c r="E48"/>
  <c r="E53"/>
  <c r="E51"/>
  <c r="G38" i="33" l="1"/>
  <c r="G36"/>
  <c r="G34"/>
  <c r="G33"/>
  <c r="E16" i="26"/>
  <c r="D16" s="1"/>
  <c r="E28" l="1"/>
  <c r="D28" s="1"/>
  <c r="E27"/>
  <c r="D27" s="1"/>
  <c r="E26"/>
  <c r="D26" s="1"/>
  <c r="E22"/>
  <c r="D22" s="1"/>
  <c r="E21"/>
  <c r="D21" s="1"/>
  <c r="E20"/>
  <c r="D20" s="1"/>
  <c r="E19"/>
  <c r="D19" s="1"/>
  <c r="E18"/>
  <c r="D18" s="1"/>
  <c r="E17"/>
  <c r="D17" s="1"/>
  <c r="E22" i="33"/>
  <c r="E24" s="1"/>
  <c r="D29" i="26" l="1"/>
  <c r="E29"/>
  <c r="H22"/>
  <c r="I22"/>
  <c r="G29" i="33"/>
  <c r="G31"/>
  <c r="F33"/>
  <c r="F34"/>
  <c r="F36"/>
  <c r="G22" i="24"/>
  <c r="G25" s="1"/>
  <c r="F22"/>
  <c r="G26" l="1"/>
  <c r="G28" s="1"/>
  <c r="G29" s="1"/>
  <c r="F26"/>
  <c r="F28" s="1"/>
  <c r="F29" s="1"/>
  <c r="G54" i="30"/>
  <c r="G52"/>
  <c r="G39" i="33"/>
  <c r="G37"/>
  <c r="F32"/>
  <c r="G47" i="30"/>
  <c r="F37" i="33" l="1"/>
  <c r="F39"/>
  <c r="G55" i="30"/>
  <c r="G32" i="33"/>
  <c r="F38" i="24" l="1"/>
  <c r="G38"/>
  <c r="G40" i="33"/>
  <c r="D25" i="24" l="1"/>
  <c r="H29" i="26" l="1"/>
  <c r="I29"/>
  <c r="D26" i="24"/>
  <c r="F14" i="25"/>
  <c r="F14" i="26" s="1"/>
  <c r="F13" i="32" s="1"/>
  <c r="F13" i="33" s="1"/>
  <c r="F13" i="30" s="1"/>
  <c r="D14" i="25"/>
  <c r="D14" i="26" s="1"/>
  <c r="D13" i="32" s="1"/>
  <c r="D13" i="33" s="1"/>
  <c r="D13" i="30" s="1"/>
  <c r="F21" i="25" l="1"/>
  <c r="G21"/>
  <c r="G16"/>
  <c r="F16"/>
  <c r="E34" i="26" l="1"/>
  <c r="E33"/>
  <c r="E30" i="32" l="1"/>
  <c r="D37" i="24"/>
  <c r="D28"/>
  <c r="D29" s="1"/>
  <c r="E22"/>
  <c r="D22"/>
  <c r="D16" i="25" s="1"/>
  <c r="H15" i="32"/>
  <c r="E16" i="25" l="1"/>
  <c r="E25" i="24"/>
  <c r="E26" s="1"/>
  <c r="E28" s="1"/>
  <c r="E29" s="1"/>
  <c r="D23" i="26"/>
  <c r="D21" i="25" l="1"/>
  <c r="D30" i="26"/>
  <c r="E23"/>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H22" i="30"/>
  <c r="H23"/>
  <c r="H24"/>
  <c r="H25"/>
  <c r="H21"/>
  <c r="H15"/>
  <c r="H17"/>
  <c r="H18"/>
  <c r="C33" i="31"/>
  <c r="C15"/>
  <c r="H29" i="24"/>
  <c r="F44" i="30"/>
  <c r="E32" i="24" l="1"/>
  <c r="D32" s="1"/>
  <c r="E40" i="32"/>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H37" i="24"/>
  <c r="H35"/>
  <c r="I35"/>
  <c r="I27"/>
  <c r="H28" i="26"/>
  <c r="I32"/>
  <c r="H32"/>
  <c r="I21" i="25"/>
  <c r="I26"/>
  <c r="I25"/>
  <c r="I24"/>
  <c r="H24"/>
  <c r="I16"/>
  <c r="H16"/>
  <c r="D59" i="32"/>
  <c r="I17" i="24"/>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H30"/>
  <c r="D34" i="24" l="1"/>
  <c r="H32"/>
  <c r="H40" i="33"/>
  <c r="D26" i="25"/>
  <c r="H26" s="1"/>
  <c r="D38" i="24" l="1"/>
  <c r="H38" s="1"/>
  <c r="H34"/>
  <c r="E34"/>
  <c r="E38" s="1"/>
  <c r="I32"/>
  <c r="I38" l="1"/>
  <c r="I34"/>
</calcChain>
</file>

<file path=xl/sharedStrings.xml><?xml version="1.0" encoding="utf-8"?>
<sst xmlns="http://schemas.openxmlformats.org/spreadsheetml/2006/main" count="658" uniqueCount="288">
  <si>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</si>
  <si>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</si>
  <si>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</si>
  <si>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</si>
  <si>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</si>
  <si>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</si>
  <si>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</si>
  <si>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</si>
  <si>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</si>
  <si>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</si>
  <si>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</si>
  <si>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</si>
  <si>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</si>
  <si>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</si>
  <si>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</si>
  <si>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</si>
  <si>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</si>
  <si>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</si>
  <si>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</si>
  <si>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</si>
  <si>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</si>
  <si>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</si>
  <si>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</si>
  <si>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</si>
  <si>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</si>
  <si>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</si>
  <si>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</si>
  <si>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</si>
  <si>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</si>
  <si>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</si>
  <si>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</si>
  <si>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</si>
  <si>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</si>
  <si>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</si>
  <si>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</si>
  <si>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</si>
  <si>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</si>
  <si>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</si>
  <si>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</si>
  <si>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</si>
  <si>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</si>
  <si>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</si>
  <si>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</si>
  <si>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</si>
  <si>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</si>
  <si>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</si>
  <si>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</si>
  <si>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</si>
  <si>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</si>
  <si>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</si>
  <si>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</si>
  <si>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</si>
  <si>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</si>
  <si>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</si>
  <si>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</si>
  <si>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</si>
  <si>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</si>
  <si>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</si>
  <si>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</si>
  <si>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</si>
  <si>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</si>
  <si>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</si>
  <si>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</si>
  <si>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</si>
  <si>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</si>
  <si>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</si>
  <si>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</si>
  <si>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</si>
  <si>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</si>
  <si>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</si>
  <si>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</si>
  <si>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</si>
  <si>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</si>
  <si>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</si>
  <si>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</si>
  <si>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</si>
  <si>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</si>
  <si>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</si>
  <si>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</si>
  <si>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</si>
  <si>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</si>
  <si>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</si>
  <si>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</si>
  <si>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</si>
  <si>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</si>
  <si>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</si>
  <si>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</si>
  <si>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</si>
  <si>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</si>
  <si>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</si>
  <si>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</si>
  <si>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</si>
  <si>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</si>
  <si>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</si>
  <si>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</si>
  <si>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</si>
  <si>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</si>
  <si>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</si>
  <si>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</si>
  <si>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</si>
  <si>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</si>
  <si>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</si>
  <si>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</si>
  <si>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</si>
  <si>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</si>
  <si>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</si>
  <si>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</si>
  <si>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</si>
  <si>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</si>
  <si>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</si>
  <si>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</si>
  <si>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</si>
  <si>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</si>
  <si>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</si>
  <si>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</si>
  <si>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</si>
  <si>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</si>
  <si>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</si>
  <si>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</si>
  <si>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</si>
  <si>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</si>
  <si>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</si>
  <si>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</si>
  <si>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</si>
  <si>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</si>
  <si>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</si>
  <si>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</si>
  <si>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</si>
  <si>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</si>
  <si>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</si>
  <si>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</si>
  <si>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</si>
  <si>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</si>
  <si>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</si>
  <si>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</si>
  <si>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</si>
  <si>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</si>
  <si>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</si>
  <si>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</si>
  <si>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</si>
  <si>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</si>
  <si>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</si>
  <si>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</si>
  <si>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</si>
  <si>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</si>
  <si>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</si>
  <si>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</si>
  <si>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</si>
  <si>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</si>
  <si>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</si>
  <si>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</si>
  <si>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</si>
  <si>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</si>
  <si>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</si>
  <si>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</si>
  <si>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</si>
  <si>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</si>
  <si>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</si>
  <si>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</si>
  <si>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</si>
  <si>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</si>
  <si>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</si>
  <si>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</si>
  <si>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</si>
  <si>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</si>
  <si>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</si>
  <si>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</si>
  <si>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</si>
  <si>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</si>
  <si>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</si>
  <si>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</si>
  <si>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</si>
  <si>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</si>
  <si>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</si>
  <si>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</si>
  <si>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</si>
  <si>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</si>
  <si>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</si>
  <si>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</si>
  <si>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</si>
  <si>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</si>
  <si>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</si>
  <si>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</si>
  <si>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</si>
  <si>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</si>
  <si>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</si>
  <si>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</si>
  <si>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</si>
  <si>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</si>
  <si>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</si>
  <si>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</si>
  <si>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</si>
  <si>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</si>
  <si>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</si>
  <si>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</si>
  <si>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</si>
  <si>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</si>
  <si>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</si>
  <si>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</si>
  <si>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</si>
  <si>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</si>
  <si>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</si>
  <si>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</si>
  <si>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</si>
  <si>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</si>
  <si>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</si>
  <si>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</si>
  <si>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</si>
  <si>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</si>
  <si>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</si>
  <si>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</si>
  <si>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</si>
  <si>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</si>
  <si>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</si>
  <si>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</si>
  <si>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</si>
  <si>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</si>
  <si>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</si>
  <si>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</si>
  <si>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</si>
  <si>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</si>
  <si>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</si>
  <si>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</si>
  <si>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</si>
  <si>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</si>
  <si>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</si>
  <si>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</si>
  <si>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</si>
  <si>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</si>
  <si>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</si>
  <si>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</si>
  <si>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</si>
  <si>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</si>
  <si>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</si>
  <si>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</si>
  <si>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 Mar-20</t>
  </si>
  <si>
    <t>April to Mar-21</t>
  </si>
  <si>
    <t>Jan-2020 to Mar-2020</t>
  </si>
  <si>
    <t>Jan-2021 to Mar-2021</t>
  </si>
  <si>
    <t>MGVCL</t>
  </si>
  <si>
    <t>V  -   DISTRIBUTION - KEY DATA</t>
  </si>
  <si>
    <t>FY 2020-21 Q-IV (Jan-Feb-Mar-21)</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</si>
  <si>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</si>
  <si>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</si>
  <si>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</si>
  <si>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</si>
  <si>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</si>
  <si>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</si>
  <si>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</si>
  <si>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</si>
  <si>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</si>
  <si>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</si>
  <si>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</si>
  <si>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</si>
  <si>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</si>
  <si>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</si>
  <si>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</si>
  <si>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</si>
  <si>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</si>
  <si>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</si>
  <si>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</si>
  <si>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Action plan for reducing T&amp;D losses in Urban, Industrial and GIDC feeders      </t>
  </si>
  <si>
    <t>Circle</t>
  </si>
  <si>
    <t>Q-IV- April to March-21</t>
  </si>
  <si>
    <t>Q-IV- April to March-20</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</si>
  <si>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</si>
  <si>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</si>
  <si>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</si>
  <si>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</si>
  <si>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</si>
  <si>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</si>
  <si>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</si>
  <si>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</si>
  <si>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</si>
  <si>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</si>
  <si>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</si>
  <si>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</si>
  <si>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</si>
  <si>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</si>
  <si>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</si>
  <si>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</si>
  <si>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</si>
  <si>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7+1*</t>
  </si>
  <si>
    <t>7+1</t>
  </si>
  <si>
    <t>* Newly created feeders</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</si>
  <si>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</si>
  <si>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t>
    </r>
  </si>
  <si>
    <t>IND</t>
  </si>
</sst>
</file>

<file path=xl/styles.xml><?xml version="1.0" encoding="utf-8"?>
<styleSheet xmlns="http://schemas.openxmlformats.org/spreadsheetml/2006/main">
  <numFmts count="26">
    <numFmt numFmtId="43" formatCode="_(* #,##0.00_);_(* \(#,##0.00\);_(* &quot;-&quot;??_);_(@_)"/>
    <numFmt numFmtId="164" formatCode="0.000"/>
    <numFmt numFmtId="165" formatCode="0.0000"/>
    <numFmt numFmtId="166" formatCode="[$-409]mmm\-yy;@"/>
    <numFmt numFmtId="167" formatCode="\$#,##0_);&quot;($&quot;#,##0\)"/>
    <numFmt numFmtId="168" formatCode="#,##0&quot; грн.&quot;;\-#,##0&quot; грн.&quot;"/>
    <numFmt numFmtId="169" formatCode="\£#,##0;&quot;-£&quot;#,##0"/>
    <numFmt numFmtId="170" formatCode="\\#,##0.00;[Red]&quot;-\&quot;#,##0.00"/>
    <numFmt numFmtId="171" formatCode="_(* #,##0_);_(* \(#,##0\);_(* \-??_);_(@_)"/>
    <numFmt numFmtId="172" formatCode="&quot;грн.&quot;#,##0.00;[Red]&quot;-грн.&quot;#,##0.00"/>
    <numFmt numFmtId="173" formatCode="_-&quot;грн.&quot;* #,##0.00_-;&quot;-грн.&quot;* #,##0.00_-;_-&quot;грн.&quot;* \-??_-;_-@_-"/>
    <numFmt numFmtId="174" formatCode="\\#,##0.00;[Red]&quot;\-&quot;#,##0.00"/>
    <numFmt numFmtId="175" formatCode="_ * #,##0.00_ ;_ * \-#,##0.00_ ;_ * \-??_ ;_ @_ "/>
    <numFmt numFmtId="176" formatCode="\$#,##0.00;[Red]&quot;-$&quot;#,##0.00"/>
    <numFmt numFmtId="177" formatCode="\£#,##0.00;[Red]&quot;-£&quot;#,##0.00"/>
    <numFmt numFmtId="178" formatCode="0_)"/>
    <numFmt numFmtId="179" formatCode="_ * #,##0_ ;_ * \-#,##0_ ;_ * \-_ ;_ @_ "/>
    <numFmt numFmtId="180" formatCode="_-* #,##0.00&quot; €&quot;_-;\-* #,##0.00&quot; €&quot;_-;_-* \-??&quot; €&quot;_-;_-@_-"/>
    <numFmt numFmtId="181" formatCode="#,##0.0"/>
    <numFmt numFmtId="182" formatCode="_-* #,##0\ _F_-;\-* #,##0\ _F_-;_-* &quot;- &quot;_F_-;_-@_-"/>
    <numFmt numFmtId="183" formatCode="_-* #,##0.00\ _F_-;\-* #,##0.00\ _F_-;_-* \-??\ _F_-;_-@_-"/>
    <numFmt numFmtId="184" formatCode="_ &quot;Fr. &quot;* #,##0_ ;_ &quot;Fr. &quot;* \-#,##0_ ;_ &quot;Fr. &quot;* \-_ ;_ @_ "/>
    <numFmt numFmtId="185" formatCode="_ &quot;Fr. &quot;* #,##0.00_ ;_ &quot;Fr. &quot;* \-#,##0.00_ ;_ &quot;Fr. &quot;* \-??_ ;_ @_ "/>
    <numFmt numFmtId="186" formatCode="_-\$* #,##0_-;&quot;-$&quot;* #,##0_-;_-\$* \-_-;_-@_-"/>
    <numFmt numFmtId="187" formatCode="_-\$* #,##0.00_-;&quot;-$&quot;* #,##0.00_-;_-\$* \-??_-;_-@_-"/>
    <numFmt numFmtId="188" formatCode="\\#,##0;[Red]&quot;\-&quot;#,##0"/>
  </numFmts>
  <fonts count="88">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2"/>
      <color theme="1"/>
      <name val="Arial"/>
      <family val="2"/>
    </font>
    <font>
      <b/>
      <sz val="24"/>
      <color theme="1"/>
      <name val="Leelawadee"/>
      <family val="2"/>
    </font>
    <font>
      <sz val="10"/>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0"/>
      <color theme="1"/>
      <name val="Leelawadee"/>
      <family val="2"/>
    </font>
    <font>
      <b/>
      <sz val="11"/>
      <color theme="1"/>
      <name val="Leelawadee"/>
      <family val="2"/>
    </font>
    <font>
      <b/>
      <sz val="14"/>
      <name val="Leelawadee"/>
      <family val="2"/>
    </font>
    <font>
      <b/>
      <sz val="10"/>
      <name val="Leelawadee"/>
      <family val="2"/>
    </font>
    <font>
      <b/>
      <sz val="12"/>
      <name val="Leelawadee"/>
      <family val="2"/>
    </font>
    <font>
      <b/>
      <sz val="10"/>
      <color rgb="FFFF0000"/>
      <name val="Leelawadee"/>
      <family val="2"/>
    </font>
    <font>
      <sz val="10"/>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s>
  <cellStyleXfs count="251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2" fillId="0" borderId="0"/>
    <xf numFmtId="0" fontId="60"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63" fillId="0" borderId="0"/>
    <xf numFmtId="3" fontId="64" fillId="0" borderId="0"/>
    <xf numFmtId="3" fontId="64" fillId="0" borderId="0"/>
    <xf numFmtId="0" fontId="65" fillId="0" borderId="0" applyNumberFormat="0" applyFill="0" applyBorder="0" applyAlignment="0" applyProtection="0"/>
    <xf numFmtId="167" fontId="66" fillId="0" borderId="46" applyAlignment="0" applyProtection="0"/>
    <xf numFmtId="168" fontId="66" fillId="0" borderId="46" applyAlignment="0" applyProtection="0"/>
    <xf numFmtId="169" fontId="66" fillId="0" borderId="46" applyAlignment="0" applyProtection="0"/>
    <xf numFmtId="168" fontId="66" fillId="0" borderId="46" applyAlignment="0" applyProtection="0"/>
    <xf numFmtId="0" fontId="67" fillId="0" borderId="0"/>
    <xf numFmtId="0" fontId="67" fillId="0" borderId="0"/>
    <xf numFmtId="0" fontId="67"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1" fontId="6" fillId="0" borderId="0" applyFill="0" applyBorder="0" applyAlignment="0" applyProtection="0"/>
    <xf numFmtId="43" fontId="68" fillId="0" borderId="0" applyFont="0" applyFill="0" applyBorder="0" applyAlignment="0" applyProtection="0"/>
    <xf numFmtId="164"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4" fontId="6" fillId="0" borderId="0" applyFill="0" applyBorder="0" applyAlignment="0" applyProtection="0"/>
    <xf numFmtId="171"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1" fontId="6" fillId="0" borderId="0" applyFill="0" applyBorder="0" applyAlignment="0" applyProtection="0"/>
    <xf numFmtId="171"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6" fontId="6" fillId="0" borderId="0" applyFill="0" applyBorder="0" applyAlignment="0" applyProtection="0"/>
    <xf numFmtId="172" fontId="6" fillId="0" borderId="0" applyFill="0" applyBorder="0" applyAlignment="0" applyProtection="0"/>
    <xf numFmtId="177" fontId="6" fillId="0" borderId="0" applyFill="0" applyBorder="0" applyAlignment="0" applyProtection="0"/>
    <xf numFmtId="172" fontId="6" fillId="0" borderId="0" applyFill="0" applyBorder="0" applyAlignment="0" applyProtection="0"/>
    <xf numFmtId="178" fontId="69"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70" fillId="0" borderId="0">
      <alignment horizontal="center" vertical="center" wrapText="1"/>
    </xf>
    <xf numFmtId="179" fontId="6" fillId="0" borderId="0" applyFill="0" applyBorder="0" applyAlignment="0" applyProtection="0"/>
    <xf numFmtId="175"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1" fontId="71" fillId="0" borderId="47">
      <alignment horizontal="right"/>
    </xf>
    <xf numFmtId="181" fontId="71" fillId="0" borderId="47">
      <alignment horizontal="right"/>
    </xf>
    <xf numFmtId="181" fontId="71" fillId="0" borderId="47">
      <alignment horizontal="right"/>
    </xf>
    <xf numFmtId="181" fontId="71" fillId="0" borderId="47">
      <alignment horizontal="right"/>
    </xf>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72" fillId="6" borderId="0"/>
    <xf numFmtId="0" fontId="73" fillId="0" borderId="48" applyNumberFormat="0" applyAlignment="0" applyProtection="0"/>
    <xf numFmtId="0" fontId="73" fillId="0" borderId="48" applyNumberFormat="0" applyAlignment="0" applyProtection="0"/>
    <xf numFmtId="0" fontId="73" fillId="0" borderId="48" applyNumberFormat="0" applyAlignment="0" applyProtection="0"/>
    <xf numFmtId="0" fontId="73" fillId="0" borderId="49">
      <alignment horizontal="left" vertical="center"/>
    </xf>
    <xf numFmtId="0" fontId="73" fillId="0" borderId="49">
      <alignment horizontal="left" vertical="center"/>
    </xf>
    <xf numFmtId="0" fontId="73" fillId="0" borderId="49">
      <alignment horizontal="left" vertical="center"/>
    </xf>
    <xf numFmtId="0" fontId="74" fillId="0" borderId="0" applyNumberFormat="0" applyFill="0" applyBorder="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5" fillId="0" borderId="50" applyNumberFormat="0" applyFill="0" applyAlignment="0" applyProtection="0"/>
    <xf numFmtId="0" fontId="73" fillId="0" borderId="0" applyNumberFormat="0" applyFill="0" applyBorder="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alignment vertical="top"/>
      <protection locked="0"/>
    </xf>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182" fontId="6" fillId="0" borderId="0" applyFill="0" applyBorder="0" applyAlignment="0" applyProtection="0"/>
    <xf numFmtId="183" fontId="6" fillId="0" borderId="0" applyFill="0" applyBorder="0" applyAlignment="0" applyProtection="0"/>
    <xf numFmtId="37" fontId="79" fillId="0" borderId="0"/>
    <xf numFmtId="37" fontId="79" fillId="0" borderId="0"/>
    <xf numFmtId="37" fontId="79" fillId="0" borderId="0"/>
    <xf numFmtId="37" fontId="79" fillId="0" borderId="0"/>
    <xf numFmtId="0" fontId="80" fillId="0" borderId="0"/>
    <xf numFmtId="0" fontId="80" fillId="0" borderId="0"/>
    <xf numFmtId="0" fontId="80" fillId="0" borderId="0"/>
    <xf numFmtId="0" fontId="80" fillId="0" borderId="0"/>
    <xf numFmtId="164" fontId="6" fillId="0" borderId="0"/>
    <xf numFmtId="164" fontId="6" fillId="0" borderId="0"/>
    <xf numFmtId="164" fontId="6" fillId="0" borderId="0"/>
    <xf numFmtId="164" fontId="6" fillId="0" borderId="0"/>
    <xf numFmtId="0" fontId="6"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xf numFmtId="0" fontId="6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8"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1" fillId="0" borderId="0"/>
    <xf numFmtId="0" fontId="68" fillId="0" borderId="0"/>
    <xf numFmtId="0" fontId="6" fillId="0" borderId="0"/>
    <xf numFmtId="0" fontId="6" fillId="0" borderId="0"/>
    <xf numFmtId="0" fontId="6" fillId="0" borderId="0">
      <alignment vertical="top"/>
    </xf>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0" fontId="68" fillId="8" borderId="52"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81" fillId="0" borderId="0"/>
    <xf numFmtId="3" fontId="82" fillId="0" borderId="0"/>
    <xf numFmtId="3" fontId="82" fillId="0" borderId="0"/>
    <xf numFmtId="0" fontId="6" fillId="9" borderId="53">
      <alignment horizontal="center" vertical="center" wrapText="1"/>
    </xf>
    <xf numFmtId="0" fontId="8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54"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0" fontId="85" fillId="0" borderId="55" applyNumberFormat="0" applyFill="0" applyAlignment="0" applyProtection="0"/>
    <xf numFmtId="184" fontId="6" fillId="0" borderId="0" applyFill="0" applyBorder="0" applyAlignment="0" applyProtection="0"/>
    <xf numFmtId="185"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86" fillId="0" borderId="0"/>
    <xf numFmtId="186" fontId="6" fillId="0" borderId="0" applyFill="0" applyBorder="0" applyAlignment="0" applyProtection="0"/>
    <xf numFmtId="187" fontId="6" fillId="0" borderId="0" applyFill="0" applyBorder="0" applyAlignment="0" applyProtection="0"/>
    <xf numFmtId="174" fontId="6" fillId="0" borderId="0" applyFill="0" applyBorder="0" applyAlignment="0" applyProtection="0"/>
    <xf numFmtId="188" fontId="6" fillId="0" borderId="0" applyFill="0" applyBorder="0" applyAlignment="0" applyProtection="0"/>
    <xf numFmtId="0" fontId="87" fillId="0" borderId="0"/>
  </cellStyleXfs>
  <cellXfs count="423">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4" fillId="0" borderId="0" xfId="0" applyNumberFormat="1" applyFont="1" applyBorder="1" applyAlignment="1">
      <alignment horizontal="right"/>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1" fontId="13" fillId="0" borderId="1" xfId="0" quotePrefix="1"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2" xfId="0" applyNumberFormat="1" applyFont="1" applyBorder="1" applyAlignment="1">
      <alignment horizontal="right" vertical="center" wrapText="1"/>
    </xf>
    <xf numFmtId="0" fontId="15" fillId="0" borderId="1" xfId="0" applyFont="1" applyBorder="1" applyAlignment="1">
      <alignment horizontal="left" vertical="center" wrapText="1"/>
    </xf>
    <xf numFmtId="2" fontId="13" fillId="0" borderId="24"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0" fontId="13" fillId="0" borderId="1" xfId="0"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4" fillId="0" borderId="0" xfId="0" applyNumberFormat="1" applyFont="1"/>
    <xf numFmtId="2" fontId="43" fillId="0" borderId="0" xfId="0" applyNumberFormat="1" applyFont="1"/>
    <xf numFmtId="1" fontId="13" fillId="0" borderId="28" xfId="0" applyNumberFormat="1" applyFont="1" applyFill="1" applyBorder="1" applyAlignment="1">
      <alignment horizontal="right" vertical="center" wrapText="1"/>
    </xf>
    <xf numFmtId="1" fontId="13" fillId="0" borderId="5" xfId="0" quotePrefix="1" applyNumberFormat="1" applyFont="1" applyFill="1" applyBorder="1" applyAlignment="1">
      <alignment horizontal="right" vertical="center" wrapText="1"/>
    </xf>
    <xf numFmtId="1" fontId="13" fillId="0" borderId="6"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64" fontId="43" fillId="0" borderId="0" xfId="0" applyNumberFormat="1" applyFont="1"/>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0" fillId="0" borderId="0" xfId="0" applyAlignment="1">
      <alignment horizontal="right" wrapText="1"/>
    </xf>
    <xf numFmtId="2" fontId="13" fillId="0" borderId="5" xfId="0" quotePrefix="1" applyNumberFormat="1" applyFont="1" applyFill="1" applyBorder="1" applyAlignment="1">
      <alignment horizontal="right" vertical="center" wrapText="1"/>
    </xf>
    <xf numFmtId="1" fontId="14" fillId="0" borderId="0" xfId="0" applyNumberFormat="1" applyFont="1" applyFill="1" applyBorder="1" applyAlignment="1">
      <alignment horizontal="right"/>
    </xf>
    <xf numFmtId="2" fontId="13" fillId="0" borderId="1" xfId="0" quotePrefix="1" applyNumberFormat="1" applyFont="1" applyFill="1" applyBorder="1" applyAlignment="1">
      <alignment horizontal="right" vertical="center" wrapText="1"/>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0" fontId="26" fillId="0" borderId="0" xfId="0" applyFont="1"/>
    <xf numFmtId="0" fontId="45" fillId="0" borderId="0" xfId="0" applyFont="1" applyFill="1" applyBorder="1"/>
    <xf numFmtId="0" fontId="46" fillId="0" borderId="0" xfId="0" applyFont="1" applyFill="1" applyAlignment="1">
      <alignment horizontal="left" vertical="center"/>
    </xf>
    <xf numFmtId="0" fontId="46" fillId="0" borderId="0" xfId="0" applyFont="1" applyFill="1" applyAlignment="1">
      <alignment vertical="center"/>
    </xf>
    <xf numFmtId="0" fontId="46" fillId="0" borderId="0" xfId="0" applyFont="1" applyFill="1" applyAlignment="1">
      <alignment horizontal="right" vertical="center"/>
    </xf>
    <xf numFmtId="0" fontId="48" fillId="0" borderId="4" xfId="0" applyFont="1" applyFill="1" applyBorder="1" applyAlignment="1">
      <alignment horizontal="center" vertical="center" wrapText="1"/>
    </xf>
    <xf numFmtId="0" fontId="45" fillId="0" borderId="0" xfId="0" quotePrefix="1" applyFont="1" applyFill="1" applyBorder="1"/>
    <xf numFmtId="0" fontId="49" fillId="0" borderId="1" xfId="0" applyFont="1" applyFill="1" applyBorder="1" applyAlignment="1">
      <alignment horizontal="left" vertical="center"/>
    </xf>
    <xf numFmtId="0" fontId="49" fillId="0" borderId="1" xfId="0" applyFont="1" applyFill="1" applyBorder="1" applyAlignment="1">
      <alignment horizontal="center" vertical="center"/>
    </xf>
    <xf numFmtId="0" fontId="49"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48" fillId="0" borderId="2" xfId="0" applyFont="1" applyFill="1" applyBorder="1" applyAlignment="1">
      <alignment horizontal="left" vertical="center"/>
    </xf>
    <xf numFmtId="0" fontId="48" fillId="0" borderId="2" xfId="0" applyFont="1" applyFill="1" applyBorder="1" applyAlignment="1">
      <alignment horizontal="center" vertical="center"/>
    </xf>
    <xf numFmtId="0" fontId="48" fillId="0" borderId="2" xfId="0" applyFont="1" applyFill="1" applyBorder="1" applyAlignment="1">
      <alignment vertical="center"/>
    </xf>
    <xf numFmtId="166" fontId="45" fillId="0" borderId="0" xfId="0" applyNumberFormat="1" applyFont="1" applyFill="1" applyBorder="1"/>
    <xf numFmtId="0" fontId="48" fillId="0" borderId="7" xfId="0" applyFont="1" applyFill="1" applyBorder="1" applyAlignment="1">
      <alignment horizontal="center" vertical="center" wrapText="1"/>
    </xf>
    <xf numFmtId="0" fontId="45" fillId="0" borderId="0" xfId="0" applyFont="1" applyFill="1" applyBorder="1" applyAlignment="1">
      <alignment vertical="center"/>
    </xf>
    <xf numFmtId="1" fontId="50" fillId="0" borderId="0" xfId="0" applyNumberFormat="1" applyFont="1" applyFill="1" applyBorder="1" applyAlignment="1">
      <alignment vertical="center"/>
    </xf>
    <xf numFmtId="0" fontId="49" fillId="4" borderId="1" xfId="0" applyFont="1" applyFill="1" applyBorder="1" applyAlignment="1">
      <alignment horizontal="center" vertical="center"/>
    </xf>
    <xf numFmtId="1" fontId="49" fillId="4" borderId="1" xfId="0" applyNumberFormat="1" applyFont="1" applyFill="1" applyBorder="1" applyAlignment="1">
      <alignment horizontal="center" vertical="center"/>
    </xf>
    <xf numFmtId="1" fontId="49" fillId="4" borderId="8" xfId="0" applyNumberFormat="1" applyFont="1" applyFill="1" applyBorder="1" applyAlignment="1">
      <alignment horizontal="center" vertical="center"/>
    </xf>
    <xf numFmtId="0" fontId="48" fillId="4" borderId="2" xfId="0" applyFont="1" applyFill="1" applyBorder="1" applyAlignment="1">
      <alignment horizontal="center" vertical="center"/>
    </xf>
    <xf numFmtId="0" fontId="48" fillId="4" borderId="12" xfId="0" applyFont="1" applyFill="1" applyBorder="1" applyAlignment="1">
      <alignment horizontal="center" vertical="center"/>
    </xf>
    <xf numFmtId="0" fontId="45" fillId="0" borderId="0" xfId="0" applyFont="1" applyFill="1" applyBorder="1" applyAlignment="1">
      <alignment horizontal="center" vertical="center"/>
    </xf>
    <xf numFmtId="0" fontId="51" fillId="0" borderId="0" xfId="0" applyFont="1" applyFill="1" applyBorder="1" applyAlignment="1">
      <alignment horizontal="center" vertical="center" wrapText="1"/>
    </xf>
    <xf numFmtId="0" fontId="50" fillId="0" borderId="0" xfId="0" applyFont="1" applyFill="1" applyBorder="1" applyAlignment="1">
      <alignment vertical="center"/>
    </xf>
    <xf numFmtId="16" fontId="45" fillId="0" borderId="0" xfId="0" quotePrefix="1" applyNumberFormat="1" applyFont="1" applyFill="1" applyBorder="1" applyAlignment="1">
      <alignment vertical="center"/>
    </xf>
    <xf numFmtId="0" fontId="50" fillId="0" borderId="0" xfId="0" applyFont="1" applyFill="1" applyBorder="1"/>
    <xf numFmtId="0" fontId="45" fillId="0" borderId="0" xfId="4" applyFont="1" applyFill="1"/>
    <xf numFmtId="0" fontId="53" fillId="0" borderId="40" xfId="1" applyFont="1" applyFill="1" applyBorder="1" applyAlignment="1"/>
    <xf numFmtId="0" fontId="53" fillId="0" borderId="24"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53" fillId="0" borderId="16" xfId="1" applyFont="1" applyFill="1" applyBorder="1" applyAlignment="1">
      <alignment horizontal="center" vertical="center" wrapText="1"/>
    </xf>
    <xf numFmtId="0" fontId="56" fillId="0" borderId="1" xfId="1" applyFont="1" applyFill="1" applyBorder="1" applyAlignment="1">
      <alignment horizontal="center" vertical="center" wrapText="1"/>
    </xf>
    <xf numFmtId="0" fontId="56" fillId="0" borderId="1" xfId="1" applyFont="1" applyFill="1" applyBorder="1" applyAlignment="1">
      <alignment horizontal="center" vertical="center"/>
    </xf>
    <xf numFmtId="2" fontId="56" fillId="0" borderId="1" xfId="1" applyNumberFormat="1" applyFont="1" applyFill="1" applyBorder="1" applyAlignment="1">
      <alignment horizontal="center" vertical="center" wrapText="1"/>
    </xf>
    <xf numFmtId="0" fontId="56" fillId="0" borderId="16" xfId="1" applyFont="1" applyFill="1" applyBorder="1" applyAlignment="1">
      <alignment horizontal="center" vertical="center" wrapText="1"/>
    </xf>
    <xf numFmtId="0" fontId="45" fillId="0" borderId="0" xfId="4" applyFont="1" applyFill="1" applyAlignment="1">
      <alignment vertical="center"/>
    </xf>
    <xf numFmtId="0" fontId="50" fillId="0" borderId="0" xfId="4" applyFont="1" applyFill="1" applyBorder="1" applyAlignment="1">
      <alignment horizontal="center" vertical="center"/>
    </xf>
    <xf numFmtId="0" fontId="53" fillId="0" borderId="10" xfId="1" applyFont="1" applyFill="1" applyBorder="1" applyAlignment="1">
      <alignment horizontal="center" vertical="center" wrapText="1"/>
    </xf>
    <xf numFmtId="2" fontId="53" fillId="0" borderId="10" xfId="1" applyNumberFormat="1" applyFont="1" applyFill="1" applyBorder="1" applyAlignment="1">
      <alignment horizontal="center" vertical="center" wrapText="1"/>
    </xf>
    <xf numFmtId="0" fontId="57" fillId="0" borderId="26" xfId="4" applyFont="1" applyFill="1" applyBorder="1" applyAlignment="1">
      <alignment horizontal="center" vertical="center"/>
    </xf>
    <xf numFmtId="0" fontId="58" fillId="0" borderId="2" xfId="1" applyFont="1" applyFill="1" applyBorder="1" applyAlignment="1">
      <alignment horizontal="center" vertical="center" wrapText="1"/>
    </xf>
    <xf numFmtId="0" fontId="57" fillId="0" borderId="0" xfId="4" applyFont="1" applyFill="1" applyAlignment="1">
      <alignment vertical="center"/>
    </xf>
    <xf numFmtId="0" fontId="50" fillId="0" borderId="1" xfId="4" applyFont="1" applyFill="1" applyBorder="1" applyAlignment="1">
      <alignment horizontal="center" vertical="center"/>
    </xf>
    <xf numFmtId="2" fontId="53" fillId="0" borderId="1" xfId="1" applyNumberFormat="1" applyFont="1" applyFill="1" applyBorder="1" applyAlignment="1">
      <alignment horizontal="center" vertical="center" wrapText="1"/>
    </xf>
    <xf numFmtId="0" fontId="57" fillId="0" borderId="43" xfId="4" applyFont="1" applyFill="1" applyBorder="1" applyAlignment="1">
      <alignment horizontal="center" vertical="center"/>
    </xf>
    <xf numFmtId="0" fontId="58" fillId="0" borderId="44" xfId="1" applyFont="1" applyFill="1" applyBorder="1" applyAlignment="1">
      <alignment horizontal="center" vertical="center" wrapText="1"/>
    </xf>
    <xf numFmtId="0" fontId="45" fillId="0" borderId="16" xfId="4" applyFont="1" applyFill="1" applyBorder="1" applyAlignment="1">
      <alignment vertical="center"/>
    </xf>
    <xf numFmtId="0" fontId="57" fillId="0" borderId="2" xfId="4" applyFont="1" applyFill="1" applyBorder="1" applyAlignment="1">
      <alignment horizontal="center" vertical="center"/>
    </xf>
    <xf numFmtId="0" fontId="55" fillId="0" borderId="45" xfId="4" applyNumberFormat="1" applyFont="1" applyFill="1" applyBorder="1" applyAlignment="1">
      <alignment vertical="center" wrapText="1"/>
    </xf>
    <xf numFmtId="0" fontId="59" fillId="0" borderId="45" xfId="4" applyNumberFormat="1" applyFont="1" applyFill="1" applyBorder="1" applyAlignment="1">
      <alignment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16"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30" xfId="0" applyNumberFormat="1" applyFont="1" applyFill="1" applyBorder="1" applyAlignment="1">
      <alignment horizontal="right" vertical="center" wrapText="1"/>
    </xf>
    <xf numFmtId="2" fontId="13" fillId="0" borderId="31"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 fontId="13" fillId="0" borderId="1" xfId="0" applyNumberFormat="1" applyFont="1" applyFill="1" applyBorder="1" applyAlignment="1">
      <alignmen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30" xfId="0" applyNumberFormat="1" applyFont="1" applyFill="1" applyBorder="1" applyAlignment="1">
      <alignment horizontal="right" vertical="center" wrapText="1"/>
    </xf>
    <xf numFmtId="1" fontId="13" fillId="0" borderId="31"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53" fillId="0" borderId="5" xfId="1" applyFont="1" applyFill="1" applyBorder="1" applyAlignment="1">
      <alignment horizontal="center" vertical="center" wrapText="1"/>
    </xf>
    <xf numFmtId="0" fontId="53" fillId="0" borderId="6" xfId="1" applyFont="1" applyFill="1" applyBorder="1" applyAlignment="1">
      <alignment horizontal="center" vertical="center" wrapText="1"/>
    </xf>
    <xf numFmtId="0" fontId="56" fillId="0" borderId="11" xfId="1" applyFont="1" applyFill="1" applyBorder="1" applyAlignment="1">
      <alignment horizontal="center" vertical="center" wrapText="1"/>
    </xf>
    <xf numFmtId="0" fontId="56" fillId="0" borderId="23" xfId="1" applyFont="1" applyFill="1" applyBorder="1" applyAlignment="1">
      <alignment horizontal="center" vertical="center" wrapText="1"/>
    </xf>
    <xf numFmtId="0" fontId="56" fillId="0" borderId="42" xfId="1" applyFont="1" applyFill="1" applyBorder="1" applyAlignment="1">
      <alignment horizontal="center" vertical="center" wrapText="1"/>
    </xf>
    <xf numFmtId="0" fontId="58" fillId="0" borderId="19" xfId="1" applyFont="1" applyFill="1" applyBorder="1" applyAlignment="1">
      <alignment horizontal="center" vertical="center" wrapText="1"/>
    </xf>
    <xf numFmtId="0" fontId="58" fillId="0" borderId="26" xfId="1" applyFont="1" applyFill="1" applyBorder="1" applyAlignment="1">
      <alignment horizontal="center" vertical="center" wrapText="1"/>
    </xf>
    <xf numFmtId="0" fontId="58" fillId="0" borderId="41" xfId="1" applyFont="1" applyFill="1" applyBorder="1" applyAlignment="1">
      <alignment horizontal="center" vertical="center" wrapText="1"/>
    </xf>
    <xf numFmtId="0" fontId="53" fillId="0" borderId="13" xfId="1" applyFont="1" applyFill="1" applyBorder="1" applyAlignment="1">
      <alignment horizontal="center" vertical="center" wrapText="1"/>
    </xf>
    <xf numFmtId="0" fontId="53" fillId="0" borderId="35" xfId="1" applyFont="1" applyFill="1" applyBorder="1" applyAlignment="1">
      <alignment horizontal="center" vertical="center" wrapText="1"/>
    </xf>
    <xf numFmtId="0" fontId="53" fillId="0" borderId="36" xfId="1" applyFont="1" applyFill="1" applyBorder="1" applyAlignment="1">
      <alignment horizontal="center" vertical="center" wrapText="1"/>
    </xf>
    <xf numFmtId="0" fontId="53" fillId="0" borderId="3" xfId="1" applyFont="1" applyFill="1" applyBorder="1" applyAlignment="1">
      <alignment horizontal="center" vertical="center" wrapText="1"/>
    </xf>
    <xf numFmtId="0" fontId="53" fillId="0" borderId="4"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53" fillId="0" borderId="7" xfId="1" applyFont="1" applyFill="1" applyBorder="1" applyAlignment="1">
      <alignment horizontal="center" vertical="center" wrapText="1"/>
    </xf>
    <xf numFmtId="0" fontId="53" fillId="0" borderId="8" xfId="1" applyFont="1" applyFill="1" applyBorder="1" applyAlignment="1">
      <alignment horizontal="center" vertical="center" wrapText="1"/>
    </xf>
    <xf numFmtId="0" fontId="52" fillId="0" borderId="37" xfId="1" applyFont="1" applyFill="1" applyBorder="1" applyAlignment="1">
      <alignment horizontal="center" vertical="center" wrapText="1"/>
    </xf>
    <xf numFmtId="0" fontId="52" fillId="0" borderId="38" xfId="1" applyFont="1" applyFill="1" applyBorder="1" applyAlignment="1">
      <alignment horizontal="center" vertical="center" wrapText="1"/>
    </xf>
    <xf numFmtId="0" fontId="52" fillId="0" borderId="39" xfId="1" applyFont="1" applyFill="1" applyBorder="1" applyAlignment="1">
      <alignment horizontal="center" vertical="center" wrapText="1"/>
    </xf>
    <xf numFmtId="0" fontId="54" fillId="0" borderId="25" xfId="1" applyFont="1" applyFill="1" applyBorder="1" applyAlignment="1">
      <alignment horizontal="center" vertical="center" wrapText="1"/>
    </xf>
    <xf numFmtId="0" fontId="54" fillId="0" borderId="26" xfId="1" applyFont="1" applyFill="1" applyBorder="1" applyAlignment="1">
      <alignment horizontal="center" vertical="center" wrapText="1"/>
    </xf>
    <xf numFmtId="0" fontId="54" fillId="0" borderId="27" xfId="1" applyFont="1" applyFill="1" applyBorder="1" applyAlignment="1">
      <alignment horizontal="center" vertical="center" wrapText="1"/>
    </xf>
    <xf numFmtId="0" fontId="48" fillId="0" borderId="33" xfId="0" applyFont="1" applyFill="1" applyBorder="1" applyAlignment="1">
      <alignment horizontal="center" vertical="center"/>
    </xf>
    <xf numFmtId="0" fontId="48" fillId="0" borderId="35" xfId="0" applyFont="1" applyFill="1" applyBorder="1" applyAlignment="1">
      <alignment horizontal="center" vertical="center"/>
    </xf>
    <xf numFmtId="0" fontId="48" fillId="0" borderId="36" xfId="0" applyFont="1" applyFill="1" applyBorder="1" applyAlignment="1">
      <alignment horizontal="center" vertical="center"/>
    </xf>
    <xf numFmtId="0" fontId="48" fillId="3" borderId="9" xfId="0" applyFont="1" applyFill="1" applyBorder="1" applyAlignment="1">
      <alignment horizontal="center" vertical="center" wrapText="1"/>
    </xf>
    <xf numFmtId="0" fontId="48" fillId="3" borderId="34" xfId="0" applyFont="1" applyFill="1" applyBorder="1" applyAlignment="1">
      <alignment horizontal="center" vertical="center" wrapText="1"/>
    </xf>
    <xf numFmtId="0" fontId="51" fillId="0" borderId="37" xfId="0" applyFont="1" applyFill="1" applyBorder="1" applyAlignment="1">
      <alignment horizontal="center" vertical="center" wrapText="1"/>
    </xf>
    <xf numFmtId="0" fontId="51" fillId="0" borderId="38" xfId="0" applyFont="1" applyFill="1" applyBorder="1" applyAlignment="1">
      <alignment horizontal="center" vertical="center" wrapText="1"/>
    </xf>
    <xf numFmtId="0" fontId="51" fillId="0" borderId="39" xfId="0" applyFont="1" applyFill="1" applyBorder="1" applyAlignment="1">
      <alignment horizontal="center" vertical="center" wrapText="1"/>
    </xf>
    <xf numFmtId="0" fontId="44" fillId="0" borderId="0" xfId="0" applyFont="1" applyFill="1" applyAlignment="1">
      <alignment horizontal="center" vertical="center"/>
    </xf>
    <xf numFmtId="0" fontId="47" fillId="0" borderId="0" xfId="0" applyFont="1" applyFill="1" applyAlignment="1">
      <alignment horizontal="center" vertical="center" wrapText="1"/>
    </xf>
    <xf numFmtId="0" fontId="48" fillId="0" borderId="4" xfId="0" applyFont="1" applyFill="1" applyBorder="1" applyAlignment="1">
      <alignment horizontal="center" vertical="center" wrapText="1"/>
    </xf>
    <xf numFmtId="0" fontId="48" fillId="0" borderId="7" xfId="0" applyFont="1" applyFill="1" applyBorder="1" applyAlignment="1">
      <alignment horizontal="center" vertical="center" wrapText="1"/>
    </xf>
    <xf numFmtId="1" fontId="49" fillId="4" borderId="1" xfId="0" applyNumberFormat="1" applyFont="1" applyFill="1" applyBorder="1" applyAlignment="1">
      <alignment horizontal="center" vertical="center" wrapText="1"/>
    </xf>
    <xf numFmtId="1" fontId="49" fillId="0" borderId="1" xfId="0" applyNumberFormat="1" applyFont="1" applyFill="1" applyBorder="1" applyAlignment="1">
      <alignment horizontal="center" vertical="center" wrapText="1"/>
    </xf>
    <xf numFmtId="1" fontId="49" fillId="0" borderId="8" xfId="0" applyNumberFormat="1" applyFont="1" applyFill="1" applyBorder="1" applyAlignment="1">
      <alignment horizontal="center" vertical="center" wrapText="1"/>
    </xf>
    <xf numFmtId="1" fontId="48" fillId="4" borderId="2" xfId="0" applyNumberFormat="1" applyFont="1" applyFill="1" applyBorder="1" applyAlignment="1">
      <alignment horizontal="center" vertical="center"/>
    </xf>
    <xf numFmtId="1" fontId="48" fillId="0" borderId="2" xfId="0" applyNumberFormat="1" applyFont="1" applyFill="1" applyBorder="1" applyAlignment="1">
      <alignment horizontal="center" vertical="center"/>
    </xf>
    <xf numFmtId="1" fontId="48" fillId="0" borderId="12" xfId="0" applyNumberFormat="1" applyFont="1" applyFill="1" applyBorder="1" applyAlignment="1">
      <alignment horizontal="center" vertical="center"/>
    </xf>
  </cellXfs>
  <cellStyles count="2515">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8" xfId="2459"/>
    <cellStyle name="Normal 9" xfId="2460"/>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L56"/>
  <sheetViews>
    <sheetView view="pageBreakPreview" topLeftCell="A13" zoomScale="60" zoomScaleNormal="70" workbookViewId="0">
      <selection activeCell="E38" sqref="E38"/>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23" t="s">
        <v>0</v>
      </c>
      <c r="B5" s="323"/>
      <c r="C5" s="323"/>
      <c r="D5" s="323"/>
      <c r="E5" s="323"/>
      <c r="F5" s="323"/>
      <c r="G5" s="323"/>
      <c r="H5" s="323"/>
      <c r="I5" s="323"/>
    </row>
    <row r="6" spans="1:9" ht="18" customHeight="1">
      <c r="A6" s="87"/>
      <c r="B6" s="87"/>
      <c r="C6" s="87"/>
      <c r="D6" s="87"/>
      <c r="E6" s="87"/>
    </row>
    <row r="8" spans="1:9" ht="30">
      <c r="A8" s="324" t="s">
        <v>42</v>
      </c>
      <c r="B8" s="324"/>
      <c r="C8" s="324"/>
      <c r="D8" s="324"/>
      <c r="E8" s="324"/>
      <c r="F8" s="324"/>
      <c r="G8" s="324"/>
      <c r="H8" s="324"/>
      <c r="I8" s="324"/>
    </row>
    <row r="10" spans="1:9" ht="30">
      <c r="A10" s="324" t="s">
        <v>67</v>
      </c>
      <c r="B10" s="324"/>
      <c r="C10" s="324"/>
      <c r="D10" s="324"/>
      <c r="E10" s="324"/>
      <c r="F10" s="324"/>
      <c r="G10" s="324"/>
      <c r="H10" s="324"/>
      <c r="I10" s="324"/>
    </row>
    <row r="11" spans="1:9" ht="13.5" thickBot="1"/>
    <row r="12" spans="1:9" ht="21.6" customHeight="1">
      <c r="A12" s="88"/>
      <c r="B12" s="89"/>
      <c r="C12" s="89"/>
      <c r="D12" s="331" t="s">
        <v>16</v>
      </c>
      <c r="E12" s="331"/>
      <c r="F12" s="331" t="s">
        <v>66</v>
      </c>
      <c r="G12" s="331"/>
      <c r="H12" s="331" t="s">
        <v>17</v>
      </c>
      <c r="I12" s="332"/>
    </row>
    <row r="13" spans="1:9" ht="21.6" customHeight="1">
      <c r="A13" s="90"/>
      <c r="B13" s="49"/>
      <c r="C13" s="49"/>
      <c r="D13" s="49" t="s">
        <v>14</v>
      </c>
      <c r="E13" s="49" t="s">
        <v>15</v>
      </c>
      <c r="F13" s="49" t="s">
        <v>14</v>
      </c>
      <c r="G13" s="49" t="s">
        <v>15</v>
      </c>
      <c r="H13" s="330" t="s">
        <v>14</v>
      </c>
      <c r="I13" s="325" t="s">
        <v>15</v>
      </c>
    </row>
    <row r="14" spans="1:9" ht="26.25" customHeight="1">
      <c r="A14" s="90"/>
      <c r="B14" s="49"/>
      <c r="C14" s="49"/>
      <c r="D14" s="330" t="s">
        <v>238</v>
      </c>
      <c r="E14" s="330"/>
      <c r="F14" s="330" t="s">
        <v>237</v>
      </c>
      <c r="G14" s="330"/>
      <c r="H14" s="330"/>
      <c r="I14" s="325"/>
    </row>
    <row r="15" spans="1:9" ht="24" customHeight="1">
      <c r="A15" s="90"/>
      <c r="B15" s="49"/>
      <c r="C15" s="49"/>
      <c r="D15" s="328"/>
      <c r="E15" s="329"/>
      <c r="F15" s="326"/>
      <c r="G15" s="327"/>
      <c r="H15" s="174"/>
      <c r="I15" s="163"/>
    </row>
    <row r="16" spans="1:9" ht="21.6" customHeight="1">
      <c r="A16" s="90" t="s">
        <v>63</v>
      </c>
      <c r="B16" s="92" t="s">
        <v>47</v>
      </c>
      <c r="C16" s="49"/>
      <c r="D16" s="161"/>
      <c r="E16" s="161"/>
      <c r="F16" s="153"/>
      <c r="G16" s="153"/>
      <c r="H16" s="174"/>
      <c r="I16" s="163"/>
    </row>
    <row r="17" spans="1:12" ht="21.6" customHeight="1">
      <c r="A17" s="90">
        <v>1</v>
      </c>
      <c r="B17" s="92" t="s">
        <v>122</v>
      </c>
      <c r="C17" s="49" t="s">
        <v>61</v>
      </c>
      <c r="D17" s="310">
        <f>+E17-8466.56</f>
        <v>3138.34</v>
      </c>
      <c r="E17" s="313">
        <v>11604.9</v>
      </c>
      <c r="F17" s="310">
        <f>+G17-8910.53</f>
        <v>2428.2249999999985</v>
      </c>
      <c r="G17" s="313">
        <v>11338.754999999999</v>
      </c>
      <c r="H17" s="308">
        <f>(D17-F17)/F17</f>
        <v>0.29244201011026655</v>
      </c>
      <c r="I17" s="317">
        <f>(E17-G17)/G17</f>
        <v>2.3472153688830957E-2</v>
      </c>
    </row>
    <row r="18" spans="1:12" ht="21.6" customHeight="1">
      <c r="A18" s="90">
        <v>2</v>
      </c>
      <c r="B18" s="92" t="s">
        <v>110</v>
      </c>
      <c r="C18" s="49" t="s">
        <v>61</v>
      </c>
      <c r="D18" s="311"/>
      <c r="E18" s="314"/>
      <c r="F18" s="311"/>
      <c r="G18" s="314"/>
      <c r="H18" s="316"/>
      <c r="I18" s="319"/>
      <c r="J18" s="210"/>
      <c r="K18" s="211"/>
    </row>
    <row r="19" spans="1:12" ht="21.6" customHeight="1">
      <c r="A19" s="90">
        <v>3</v>
      </c>
      <c r="B19" s="92" t="s">
        <v>112</v>
      </c>
      <c r="C19" s="49" t="s">
        <v>61</v>
      </c>
      <c r="D19" s="312"/>
      <c r="E19" s="315"/>
      <c r="F19" s="312"/>
      <c r="G19" s="315"/>
      <c r="H19" s="309"/>
      <c r="I19" s="318"/>
    </row>
    <row r="20" spans="1:12" ht="21.6" customHeight="1">
      <c r="A20" s="90"/>
      <c r="B20" s="92" t="s">
        <v>113</v>
      </c>
      <c r="C20" s="49" t="s">
        <v>61</v>
      </c>
      <c r="D20" s="20"/>
      <c r="E20" s="231"/>
      <c r="F20" s="203"/>
      <c r="G20" s="203"/>
      <c r="H20" s="175"/>
      <c r="I20" s="176"/>
    </row>
    <row r="21" spans="1:12" ht="21.6" customHeight="1">
      <c r="A21" s="90"/>
      <c r="B21" s="92" t="s">
        <v>114</v>
      </c>
      <c r="C21" s="49" t="s">
        <v>61</v>
      </c>
      <c r="D21" s="20"/>
      <c r="E21" s="231"/>
      <c r="F21" s="203"/>
      <c r="G21" s="203"/>
      <c r="H21" s="175"/>
      <c r="I21" s="176"/>
    </row>
    <row r="22" spans="1:12" ht="21.6" customHeight="1">
      <c r="A22" s="90"/>
      <c r="B22" s="92" t="s">
        <v>48</v>
      </c>
      <c r="C22" s="49" t="s">
        <v>61</v>
      </c>
      <c r="D22" s="171">
        <f>+D17+D20+D21</f>
        <v>3138.34</v>
      </c>
      <c r="E22" s="229">
        <f>+E17+E20+E21</f>
        <v>11604.9</v>
      </c>
      <c r="F22" s="203">
        <f>+F17+F20+F21</f>
        <v>2428.2249999999985</v>
      </c>
      <c r="G22" s="203">
        <f>+G17+G20+G21</f>
        <v>11338.754999999999</v>
      </c>
      <c r="H22" s="173">
        <f>(D22-F22)/F22</f>
        <v>0.29244201011026655</v>
      </c>
      <c r="I22" s="177">
        <f>(E22-G22)/G22</f>
        <v>2.3472153688830957E-2</v>
      </c>
    </row>
    <row r="23" spans="1:12" ht="21.6" customHeight="1">
      <c r="A23" s="90"/>
      <c r="B23" s="92"/>
      <c r="C23" s="49"/>
      <c r="D23" s="20"/>
      <c r="E23" s="231"/>
      <c r="F23" s="203"/>
      <c r="G23" s="203"/>
      <c r="H23" s="175"/>
      <c r="I23" s="176"/>
    </row>
    <row r="24" spans="1:12" ht="21.6" customHeight="1">
      <c r="A24" s="90" t="s">
        <v>64</v>
      </c>
      <c r="B24" s="92" t="s">
        <v>49</v>
      </c>
      <c r="C24" s="49"/>
      <c r="D24" s="20"/>
      <c r="E24" s="231"/>
      <c r="F24" s="203"/>
      <c r="G24" s="203"/>
      <c r="H24" s="175"/>
      <c r="I24" s="176"/>
    </row>
    <row r="25" spans="1:12" ht="21.6" customHeight="1">
      <c r="A25" s="90">
        <v>1</v>
      </c>
      <c r="B25" s="92" t="s">
        <v>50</v>
      </c>
      <c r="C25" s="49" t="s">
        <v>61</v>
      </c>
      <c r="D25" s="171">
        <f>+D17</f>
        <v>3138.34</v>
      </c>
      <c r="E25" s="229">
        <f>+E22</f>
        <v>11604.9</v>
      </c>
      <c r="F25" s="203">
        <f>+F17</f>
        <v>2428.2249999999985</v>
      </c>
      <c r="G25" s="203">
        <f>+G22</f>
        <v>11338.754999999999</v>
      </c>
      <c r="H25" s="173">
        <f t="shared" ref="H25:I37" si="0">(D25-F25)/F25</f>
        <v>0.29244201011026655</v>
      </c>
      <c r="I25" s="177">
        <f t="shared" si="0"/>
        <v>2.3472153688830957E-2</v>
      </c>
    </row>
    <row r="26" spans="1:12" ht="21.6" customHeight="1">
      <c r="A26" s="90">
        <v>2</v>
      </c>
      <c r="B26" s="92" t="s">
        <v>51</v>
      </c>
      <c r="C26" s="49" t="s">
        <v>61</v>
      </c>
      <c r="D26" s="171">
        <f>+D25</f>
        <v>3138.34</v>
      </c>
      <c r="E26" s="229">
        <f>+E25</f>
        <v>11604.9</v>
      </c>
      <c r="F26" s="203">
        <f>+F25</f>
        <v>2428.2249999999985</v>
      </c>
      <c r="G26" s="203">
        <f>+G25</f>
        <v>11338.754999999999</v>
      </c>
      <c r="H26" s="173">
        <f t="shared" si="0"/>
        <v>0.29244201011026655</v>
      </c>
      <c r="I26" s="177">
        <f t="shared" si="0"/>
        <v>2.3472153688830957E-2</v>
      </c>
    </row>
    <row r="27" spans="1:12" ht="21.6" customHeight="1">
      <c r="A27" s="90">
        <v>3</v>
      </c>
      <c r="B27" s="92" t="s">
        <v>111</v>
      </c>
      <c r="C27" s="49" t="s">
        <v>61</v>
      </c>
      <c r="D27" s="171">
        <f>+E27-7212.34</f>
        <v>2780.5920000000006</v>
      </c>
      <c r="E27" s="229">
        <v>9992.9320000000007</v>
      </c>
      <c r="F27" s="203">
        <v>2072.0299723999979</v>
      </c>
      <c r="G27" s="241">
        <v>9754.0999723999976</v>
      </c>
      <c r="H27" s="173">
        <f t="shared" si="0"/>
        <v>0.34196514386289839</v>
      </c>
      <c r="I27" s="177">
        <f t="shared" si="0"/>
        <v>2.4485296262679014E-2</v>
      </c>
      <c r="L27" s="255"/>
    </row>
    <row r="28" spans="1:12" ht="21.6" customHeight="1">
      <c r="A28" s="90">
        <v>4</v>
      </c>
      <c r="B28" s="92" t="s">
        <v>115</v>
      </c>
      <c r="C28" s="49" t="s">
        <v>61</v>
      </c>
      <c r="D28" s="171">
        <f>+D26-D27</f>
        <v>357.74799999999959</v>
      </c>
      <c r="E28" s="229">
        <f>+E26-E27</f>
        <v>1611.9679999999989</v>
      </c>
      <c r="F28" s="203">
        <f>+F26-F27</f>
        <v>356.19502760000069</v>
      </c>
      <c r="G28" s="203">
        <f>+G26-G27</f>
        <v>1584.6550276000016</v>
      </c>
      <c r="H28" s="173">
        <f t="shared" si="0"/>
        <v>4.3598935405209016E-3</v>
      </c>
      <c r="I28" s="173">
        <f t="shared" si="0"/>
        <v>1.7235910607852276E-2</v>
      </c>
    </row>
    <row r="29" spans="1:12" ht="21.6" customHeight="1">
      <c r="A29" s="90">
        <v>5</v>
      </c>
      <c r="B29" s="92" t="s">
        <v>52</v>
      </c>
      <c r="C29" s="49" t="s">
        <v>34</v>
      </c>
      <c r="D29" s="172">
        <f>+(D28/D26)</f>
        <v>0.11399274775836894</v>
      </c>
      <c r="E29" s="230">
        <f>+(E28/E26)</f>
        <v>0.13890408361985015</v>
      </c>
      <c r="F29" s="198">
        <f t="shared" ref="F29:G29" si="1">F28/F26*100%</f>
        <v>0.14668946559729881</v>
      </c>
      <c r="G29" s="198">
        <f t="shared" si="1"/>
        <v>0.13975564580061936</v>
      </c>
      <c r="H29" s="173">
        <f>D29-F29</f>
        <v>-3.269671783892987E-2</v>
      </c>
      <c r="I29" s="173">
        <f>E29-G29</f>
        <v>-8.5156218076920531E-4</v>
      </c>
    </row>
    <row r="30" spans="1:12" ht="21.6" customHeight="1">
      <c r="A30" s="90"/>
      <c r="B30" s="92"/>
      <c r="C30" s="49"/>
      <c r="D30" s="20"/>
      <c r="E30" s="231"/>
      <c r="F30" s="203"/>
      <c r="G30" s="203"/>
      <c r="H30" s="173"/>
      <c r="I30" s="177"/>
    </row>
    <row r="31" spans="1:12" ht="21.6" customHeight="1">
      <c r="A31" s="90" t="s">
        <v>65</v>
      </c>
      <c r="B31" s="92" t="s">
        <v>53</v>
      </c>
      <c r="C31" s="49"/>
      <c r="D31" s="20"/>
      <c r="E31" s="231"/>
      <c r="F31" s="203"/>
      <c r="G31" s="203"/>
      <c r="H31" s="173"/>
      <c r="I31" s="177"/>
    </row>
    <row r="32" spans="1:12" ht="21.6" customHeight="1">
      <c r="A32" s="90">
        <v>1</v>
      </c>
      <c r="B32" s="92" t="s">
        <v>54</v>
      </c>
      <c r="C32" s="321" t="s">
        <v>62</v>
      </c>
      <c r="D32" s="310">
        <f>+E32-5165.25</f>
        <v>1737.4100000000008</v>
      </c>
      <c r="E32" s="313">
        <f>+'SHEET-5'!E25+37.1+15.47+85.46+97.8+74.07+70.26+70.61+76.06+65.91+63.37+59.39+61.48</f>
        <v>6902.6600000000008</v>
      </c>
      <c r="F32" s="310">
        <f>+G32-5582.97</f>
        <v>1482.1183000000001</v>
      </c>
      <c r="G32" s="313">
        <f>+'SHEET-5'!G25+63.46+67.51+76.43+82.27+82.43+77.07+77.33+73.12+71.9+68.06+61.05+63.53</f>
        <v>7065.0883000000003</v>
      </c>
      <c r="H32" s="308">
        <f t="shared" si="0"/>
        <v>0.17224785632833806</v>
      </c>
      <c r="I32" s="317">
        <f t="shared" si="0"/>
        <v>-2.2990271756405306E-2</v>
      </c>
    </row>
    <row r="33" spans="1:9" ht="21.6" customHeight="1">
      <c r="A33" s="90">
        <v>2</v>
      </c>
      <c r="B33" s="92" t="s">
        <v>55</v>
      </c>
      <c r="C33" s="322"/>
      <c r="D33" s="312"/>
      <c r="E33" s="315"/>
      <c r="F33" s="312"/>
      <c r="G33" s="315"/>
      <c r="H33" s="309"/>
      <c r="I33" s="318"/>
    </row>
    <row r="34" spans="1:9" ht="21.6" customHeight="1">
      <c r="A34" s="90">
        <v>3</v>
      </c>
      <c r="B34" s="92" t="s">
        <v>56</v>
      </c>
      <c r="C34" s="49" t="s">
        <v>62</v>
      </c>
      <c r="D34" s="171">
        <f>+D32</f>
        <v>1737.4100000000008</v>
      </c>
      <c r="E34" s="229">
        <f>+E32</f>
        <v>6902.6600000000008</v>
      </c>
      <c r="F34" s="203">
        <f>+F32</f>
        <v>1482.1183000000001</v>
      </c>
      <c r="G34" s="239">
        <f>+G32</f>
        <v>7065.0883000000003</v>
      </c>
      <c r="H34" s="173">
        <f t="shared" si="0"/>
        <v>0.17224785632833806</v>
      </c>
      <c r="I34" s="177">
        <f t="shared" si="0"/>
        <v>-2.2990271756405306E-2</v>
      </c>
    </row>
    <row r="35" spans="1:9" ht="21.6" customHeight="1">
      <c r="A35" s="90">
        <v>4</v>
      </c>
      <c r="B35" s="92" t="s">
        <v>57</v>
      </c>
      <c r="C35" s="321" t="s">
        <v>62</v>
      </c>
      <c r="D35" s="313">
        <v>1955.35</v>
      </c>
      <c r="E35" s="313">
        <v>6950.28</v>
      </c>
      <c r="F35" s="313">
        <f>+G35-5476.98-1.79</f>
        <v>1477.5200000000004</v>
      </c>
      <c r="G35" s="313">
        <v>6956.29</v>
      </c>
      <c r="H35" s="308">
        <f t="shared" si="0"/>
        <v>0.32340002165791282</v>
      </c>
      <c r="I35" s="317">
        <f t="shared" si="0"/>
        <v>-8.6396628087676312E-4</v>
      </c>
    </row>
    <row r="36" spans="1:9" ht="21.6" customHeight="1">
      <c r="A36" s="90">
        <v>5</v>
      </c>
      <c r="B36" s="92" t="s">
        <v>58</v>
      </c>
      <c r="C36" s="322"/>
      <c r="D36" s="315"/>
      <c r="E36" s="315"/>
      <c r="F36" s="315"/>
      <c r="G36" s="315"/>
      <c r="H36" s="309"/>
      <c r="I36" s="318"/>
    </row>
    <row r="37" spans="1:9" ht="21.6" customHeight="1">
      <c r="A37" s="90">
        <v>6</v>
      </c>
      <c r="B37" s="92" t="s">
        <v>59</v>
      </c>
      <c r="C37" s="49" t="s">
        <v>62</v>
      </c>
      <c r="D37" s="206">
        <f>+D35</f>
        <v>1955.35</v>
      </c>
      <c r="E37" s="229">
        <f>+E35</f>
        <v>6950.28</v>
      </c>
      <c r="F37" s="203">
        <f>+F35</f>
        <v>1477.5200000000004</v>
      </c>
      <c r="G37" s="203">
        <f>+G35</f>
        <v>6956.29</v>
      </c>
      <c r="H37" s="173">
        <f t="shared" si="0"/>
        <v>0.32340002165791282</v>
      </c>
      <c r="I37" s="177">
        <f t="shared" si="0"/>
        <v>-8.6396628087676312E-4</v>
      </c>
    </row>
    <row r="38" spans="1:9" ht="21.6" customHeight="1">
      <c r="A38" s="90">
        <v>7</v>
      </c>
      <c r="B38" s="92" t="s">
        <v>60</v>
      </c>
      <c r="C38" s="49" t="s">
        <v>34</v>
      </c>
      <c r="D38" s="207">
        <f>+D37/D34</f>
        <v>1.1254395911155104</v>
      </c>
      <c r="E38" s="230">
        <f>+E37/E34</f>
        <v>1.0068987897419255</v>
      </c>
      <c r="F38" s="198">
        <f t="shared" ref="F38:G38" si="2">F37/F34</f>
        <v>0.9968974811254947</v>
      </c>
      <c r="G38" s="198">
        <f t="shared" si="2"/>
        <v>0.98460057463117623</v>
      </c>
      <c r="H38" s="173">
        <f>D38-F38</f>
        <v>0.1285421099900157</v>
      </c>
      <c r="I38" s="173">
        <f>E38-G38</f>
        <v>2.2298215110749253E-2</v>
      </c>
    </row>
    <row r="39" spans="1:9" ht="21.6" customHeight="1" thickBot="1">
      <c r="A39" s="94"/>
      <c r="B39" s="95"/>
      <c r="C39" s="21"/>
      <c r="D39" s="162"/>
      <c r="E39" s="162"/>
      <c r="F39" s="21"/>
      <c r="G39" s="21"/>
      <c r="H39" s="162"/>
      <c r="I39" s="164"/>
    </row>
    <row r="40" spans="1:9" ht="18">
      <c r="F40" s="96"/>
      <c r="G40" s="96"/>
      <c r="H40" s="5"/>
      <c r="I40" s="5"/>
    </row>
    <row r="42" spans="1:9">
      <c r="E42" s="208"/>
    </row>
    <row r="43" spans="1:9" ht="41.25" customHeight="1">
      <c r="A43" s="320"/>
      <c r="B43" s="320"/>
      <c r="D43" s="242"/>
      <c r="E43" s="24"/>
      <c r="F43" s="215"/>
      <c r="G43" s="234"/>
    </row>
    <row r="47" spans="1:9" ht="18">
      <c r="D47" s="190"/>
      <c r="E47" s="190"/>
      <c r="F47" s="214"/>
    </row>
    <row r="48" spans="1:9" ht="20.25">
      <c r="F48" s="215"/>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L18" sqref="L18"/>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33" t="s">
        <v>0</v>
      </c>
      <c r="B5" s="333"/>
      <c r="C5" s="333"/>
      <c r="D5" s="333"/>
      <c r="E5" s="333"/>
      <c r="F5" s="333"/>
      <c r="G5" s="333"/>
      <c r="H5" s="333"/>
      <c r="I5" s="333"/>
    </row>
    <row r="6" spans="1:9" ht="18" customHeight="1">
      <c r="A6" s="87"/>
      <c r="B6" s="87"/>
      <c r="C6" s="87"/>
      <c r="D6" s="87"/>
      <c r="E6" s="87"/>
    </row>
    <row r="8" spans="1:9" ht="30">
      <c r="A8" s="324" t="s">
        <v>79</v>
      </c>
      <c r="B8" s="324"/>
      <c r="C8" s="324"/>
      <c r="D8" s="324"/>
      <c r="E8" s="324"/>
      <c r="F8" s="324"/>
      <c r="G8" s="324"/>
      <c r="H8" s="324"/>
      <c r="I8" s="324"/>
    </row>
    <row r="10" spans="1:9" ht="30">
      <c r="A10" s="324" t="s">
        <v>78</v>
      </c>
      <c r="B10" s="324"/>
      <c r="C10" s="324"/>
      <c r="D10" s="324"/>
      <c r="E10" s="324"/>
      <c r="F10" s="324"/>
      <c r="G10" s="324"/>
      <c r="H10" s="324"/>
      <c r="I10" s="324"/>
    </row>
    <row r="11" spans="1:9" ht="13.5" thickBot="1"/>
    <row r="12" spans="1:9" ht="24" customHeight="1">
      <c r="A12" s="88"/>
      <c r="B12" s="89"/>
      <c r="C12" s="89"/>
      <c r="D12" s="331" t="s">
        <v>16</v>
      </c>
      <c r="E12" s="331"/>
      <c r="F12" s="331" t="s">
        <v>66</v>
      </c>
      <c r="G12" s="331"/>
      <c r="H12" s="334" t="s">
        <v>17</v>
      </c>
      <c r="I12" s="332"/>
    </row>
    <row r="13" spans="1:9" ht="24" customHeight="1">
      <c r="A13" s="90"/>
      <c r="B13" s="49"/>
      <c r="C13" s="49"/>
      <c r="D13" s="49" t="s">
        <v>14</v>
      </c>
      <c r="E13" s="49" t="s">
        <v>15</v>
      </c>
      <c r="F13" s="49" t="s">
        <v>14</v>
      </c>
      <c r="G13" s="49" t="s">
        <v>15</v>
      </c>
      <c r="H13" s="330" t="s">
        <v>14</v>
      </c>
      <c r="I13" s="335" t="s">
        <v>15</v>
      </c>
    </row>
    <row r="14" spans="1:9" ht="33" customHeight="1">
      <c r="A14" s="90"/>
      <c r="B14" s="49"/>
      <c r="C14" s="49"/>
      <c r="D14" s="330" t="str">
        <f>+'SHEET-1'!D14:E14</f>
        <v>Jan-2021 to Mar-2021</v>
      </c>
      <c r="E14" s="330"/>
      <c r="F14" s="330" t="str">
        <f>+'SHEET-1'!F14:G14</f>
        <v>Jan-2020 to Mar-2020</v>
      </c>
      <c r="G14" s="330"/>
      <c r="H14" s="330"/>
      <c r="I14" s="335"/>
    </row>
    <row r="15" spans="1:9" ht="24" customHeight="1">
      <c r="A15" s="90" t="s">
        <v>63</v>
      </c>
      <c r="B15" s="49" t="s">
        <v>76</v>
      </c>
      <c r="C15" s="49"/>
      <c r="D15" s="167"/>
      <c r="E15" s="167"/>
      <c r="F15" s="167"/>
      <c r="G15" s="167"/>
      <c r="H15" s="167"/>
      <c r="I15" s="168"/>
    </row>
    <row r="16" spans="1:9" ht="24" customHeight="1">
      <c r="A16" s="90">
        <v>1</v>
      </c>
      <c r="B16" s="92" t="s">
        <v>123</v>
      </c>
      <c r="C16" s="49" t="s">
        <v>77</v>
      </c>
      <c r="D16" s="192">
        <f>ROUND(+('SHEET-3'!D15/'SHEET-1'!D22)*10,2)</f>
        <v>4.32</v>
      </c>
      <c r="E16" s="171">
        <f>ROUND(+('SHEET-3'!E15/'SHEET-1'!E22)*10,2)</f>
        <v>4.63</v>
      </c>
      <c r="F16" s="192">
        <f>ROUND(+('SHEET-3'!F15/'SHEET-1'!F22)*10,2)</f>
        <v>4.6100000000000003</v>
      </c>
      <c r="G16" s="192">
        <f>ROUND(+('SHEET-3'!G15/'SHEET-1'!G22)*10,2)</f>
        <v>4.79</v>
      </c>
      <c r="H16" s="172">
        <f>(D16-F16)/F16</f>
        <v>-6.2906724511930592E-2</v>
      </c>
      <c r="I16" s="170">
        <f>(E16-G16)/G16</f>
        <v>-3.3402922755741159E-2</v>
      </c>
    </row>
    <row r="17" spans="1:12" ht="24" customHeight="1">
      <c r="A17" s="90">
        <v>2</v>
      </c>
      <c r="B17" s="92" t="s">
        <v>69</v>
      </c>
      <c r="C17" s="49" t="s">
        <v>77</v>
      </c>
      <c r="D17" s="171"/>
      <c r="E17" s="171"/>
      <c r="F17" s="198"/>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5.84</v>
      </c>
      <c r="E21" s="192">
        <f>ROUND(+('SHEET-3'!E23/'SHEET-1'!E27)*10,2)</f>
        <v>6.41</v>
      </c>
      <c r="F21" s="192">
        <f>ROUND(+('SHEET-3'!F23/'SHEET-1'!F27)*10,2)</f>
        <v>6.67</v>
      </c>
      <c r="G21" s="192">
        <f>ROUND(+('SHEET-3'!G23/'SHEET-1'!G27)*10,2)</f>
        <v>6.6</v>
      </c>
      <c r="H21" s="172">
        <f>(D21-F21)/F21</f>
        <v>-0.12443778110944528</v>
      </c>
      <c r="I21" s="170">
        <f>(E21-G21)/G21</f>
        <v>-2.8787878787878713E-2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7.24</v>
      </c>
      <c r="E24" s="192">
        <f>ROUND(+'SHEET-5'!E32/100,2)</f>
        <v>7.2</v>
      </c>
      <c r="F24" s="192">
        <f>ROUND(+'SHEET-5'!F32/100,2)</f>
        <v>7.25</v>
      </c>
      <c r="G24" s="192">
        <f>ROUND(+'SHEET-5'!G32/100,2)</f>
        <v>7.37</v>
      </c>
      <c r="H24" s="172">
        <f t="shared" ref="H24:I26" si="0">(D24-F24)/F24</f>
        <v>-1.3793103448275568E-3</v>
      </c>
      <c r="I24" s="170">
        <f t="shared" si="0"/>
        <v>-2.3066485753052906E-2</v>
      </c>
      <c r="K24" s="98"/>
      <c r="L24" s="98"/>
    </row>
    <row r="25" spans="1:12" ht="24" customHeight="1">
      <c r="A25" s="90">
        <v>2</v>
      </c>
      <c r="B25" s="92" t="s">
        <v>73</v>
      </c>
      <c r="C25" s="49" t="s">
        <v>77</v>
      </c>
      <c r="D25" s="171">
        <f>ROUND(+'SHEET-5'!D39/100,2)</f>
        <v>5.16</v>
      </c>
      <c r="E25" s="192">
        <f>ROUND(+'SHEET-5'!E39/100,2)</f>
        <v>5.45</v>
      </c>
      <c r="F25" s="192">
        <f>ROUND(+'SHEET-5'!F39/100,2)</f>
        <v>5.35</v>
      </c>
      <c r="G25" s="192">
        <f>ROUND(+'SHEET-5'!G39/100,2)</f>
        <v>5.72</v>
      </c>
      <c r="H25" s="172">
        <f t="shared" si="0"/>
        <v>-3.5514018691588697E-2</v>
      </c>
      <c r="I25" s="170">
        <f t="shared" si="0"/>
        <v>-4.7202797202797131E-2</v>
      </c>
      <c r="K25" s="98"/>
      <c r="L25" s="98"/>
    </row>
    <row r="26" spans="1:12" ht="24" customHeight="1">
      <c r="A26" s="99">
        <v>3</v>
      </c>
      <c r="B26" s="100" t="s">
        <v>74</v>
      </c>
      <c r="C26" s="49" t="s">
        <v>77</v>
      </c>
      <c r="D26" s="165">
        <f>ROUND(+'SHEET-5'!D40/100,2)</f>
        <v>5.98</v>
      </c>
      <c r="E26" s="191">
        <f>ROUND(+'SHEET-5'!E40/100,2)</f>
        <v>6.13</v>
      </c>
      <c r="F26" s="191">
        <f>ROUND(+'SHEET-5'!F40/100,2)</f>
        <v>6.06</v>
      </c>
      <c r="G26" s="191">
        <f>ROUND(+'SHEET-5'!G40/100,2)</f>
        <v>6.36</v>
      </c>
      <c r="H26" s="172">
        <f t="shared" si="0"/>
        <v>-1.3201320132013068E-2</v>
      </c>
      <c r="I26" s="170">
        <f t="shared" si="0"/>
        <v>-3.6163522012578685E-2</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20"/>
      <c r="B35" s="320"/>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1" zoomScale="60" zoomScaleNormal="60" workbookViewId="0">
      <selection activeCell="F15" sqref="F15"/>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36" t="s">
        <v>0</v>
      </c>
      <c r="B5" s="336"/>
      <c r="C5" s="336"/>
      <c r="D5" s="336"/>
      <c r="E5" s="336"/>
      <c r="F5" s="336"/>
      <c r="G5" s="336"/>
      <c r="H5" s="336"/>
      <c r="I5" s="336"/>
    </row>
    <row r="6" spans="1:11" ht="18" customHeight="1">
      <c r="A6" s="87"/>
      <c r="B6" s="87"/>
      <c r="C6" s="87"/>
      <c r="D6" s="87"/>
      <c r="E6" s="87"/>
    </row>
    <row r="8" spans="1:11" ht="27.75">
      <c r="A8" s="337" t="s">
        <v>42</v>
      </c>
      <c r="B8" s="337"/>
      <c r="C8" s="337"/>
      <c r="D8" s="337"/>
      <c r="E8" s="337"/>
      <c r="F8" s="337"/>
      <c r="G8" s="337"/>
      <c r="H8" s="337"/>
      <c r="I8" s="337"/>
    </row>
    <row r="10" spans="1:11" ht="27.75">
      <c r="A10" s="337" t="s">
        <v>41</v>
      </c>
      <c r="B10" s="337"/>
      <c r="C10" s="337"/>
      <c r="D10" s="337"/>
      <c r="E10" s="337"/>
      <c r="F10" s="337"/>
      <c r="G10" s="337"/>
      <c r="H10" s="337"/>
      <c r="I10" s="337"/>
    </row>
    <row r="11" spans="1:11" ht="13.5" thickBot="1"/>
    <row r="12" spans="1:11" ht="21.6" customHeight="1">
      <c r="A12" s="88"/>
      <c r="B12" s="89"/>
      <c r="C12" s="89"/>
      <c r="D12" s="331" t="s">
        <v>105</v>
      </c>
      <c r="E12" s="331"/>
      <c r="F12" s="331" t="s">
        <v>66</v>
      </c>
      <c r="G12" s="331"/>
      <c r="H12" s="331" t="s">
        <v>17</v>
      </c>
      <c r="I12" s="332"/>
    </row>
    <row r="13" spans="1:11" ht="21.6" customHeight="1">
      <c r="A13" s="90"/>
      <c r="B13" s="49"/>
      <c r="C13" s="49"/>
      <c r="D13" s="49" t="s">
        <v>14</v>
      </c>
      <c r="E13" s="49" t="s">
        <v>15</v>
      </c>
      <c r="F13" s="49" t="s">
        <v>14</v>
      </c>
      <c r="G13" s="49" t="s">
        <v>15</v>
      </c>
      <c r="H13" s="330" t="s">
        <v>14</v>
      </c>
      <c r="I13" s="325" t="s">
        <v>15</v>
      </c>
    </row>
    <row r="14" spans="1:11" ht="33" customHeight="1">
      <c r="A14" s="90"/>
      <c r="B14" s="49"/>
      <c r="C14" s="49"/>
      <c r="D14" s="330" t="str">
        <f>+'SHEET-2'!D14:E14</f>
        <v>Jan-2021 to Mar-2021</v>
      </c>
      <c r="E14" s="330"/>
      <c r="F14" s="330" t="str">
        <f>+'SHEET-2'!F14:G14</f>
        <v>Jan-2020 to Mar-2020</v>
      </c>
      <c r="G14" s="330"/>
      <c r="H14" s="321"/>
      <c r="I14" s="325"/>
    </row>
    <row r="15" spans="1:11" ht="24" customHeight="1">
      <c r="A15" s="90">
        <v>1</v>
      </c>
      <c r="B15" s="92" t="s">
        <v>125</v>
      </c>
      <c r="C15" s="49" t="s">
        <v>13</v>
      </c>
      <c r="D15" s="171">
        <f>+E15-4014.45</f>
        <v>1354.4499999999998</v>
      </c>
      <c r="E15" s="171">
        <v>5368.9</v>
      </c>
      <c r="F15" s="203">
        <f>+G15-4406.1+100</f>
        <v>1120.0199999999995</v>
      </c>
      <c r="G15" s="203">
        <v>5426.12</v>
      </c>
      <c r="H15" s="172">
        <f t="shared" ref="H15:I21" si="0">(D15-F15)/F15</f>
        <v>0.20930876234352994</v>
      </c>
      <c r="I15" s="179">
        <f t="shared" si="0"/>
        <v>-1.0545288346000504E-2</v>
      </c>
      <c r="J15" s="204"/>
      <c r="K15" s="211"/>
    </row>
    <row r="16" spans="1:11" ht="24" customHeight="1">
      <c r="A16" s="90">
        <v>2</v>
      </c>
      <c r="B16" s="92" t="s">
        <v>25</v>
      </c>
      <c r="C16" s="49" t="s">
        <v>13</v>
      </c>
      <c r="D16" s="171">
        <f>+E16-397.08</f>
        <v>148.01810030000007</v>
      </c>
      <c r="E16" s="171">
        <f>+'SHEET-7'!C23</f>
        <v>545.09810030000006</v>
      </c>
      <c r="F16" s="203">
        <f>+G16-376.98</f>
        <v>140.37220000000002</v>
      </c>
      <c r="G16" s="206">
        <f>+'SHEET-7'!D23</f>
        <v>517.35220000000004</v>
      </c>
      <c r="H16" s="172">
        <f t="shared" si="0"/>
        <v>5.4468764470458182E-2</v>
      </c>
      <c r="I16" s="179">
        <f t="shared" si="0"/>
        <v>5.3630583382075138E-2</v>
      </c>
      <c r="J16" s="204"/>
    </row>
    <row r="17" spans="1:13" ht="24" customHeight="1">
      <c r="A17" s="90">
        <v>3</v>
      </c>
      <c r="B17" s="92" t="s">
        <v>26</v>
      </c>
      <c r="C17" s="49" t="s">
        <v>13</v>
      </c>
      <c r="D17" s="171">
        <f>+E17-49.19</f>
        <v>16.394081035693802</v>
      </c>
      <c r="E17" s="171">
        <f>+'SHEET-7'!C29</f>
        <v>65.584081035693799</v>
      </c>
      <c r="F17" s="203">
        <f>+G17-45.25-3</f>
        <v>15.524499999999996</v>
      </c>
      <c r="G17" s="206">
        <f>+'SHEET-7'!D29</f>
        <v>63.774499999999996</v>
      </c>
      <c r="H17" s="172">
        <f t="shared" si="0"/>
        <v>5.6013464890579769E-2</v>
      </c>
      <c r="I17" s="179">
        <f t="shared" si="0"/>
        <v>2.8374680094611533E-2</v>
      </c>
      <c r="J17" s="204"/>
    </row>
    <row r="18" spans="1:13" ht="24" customHeight="1">
      <c r="A18" s="90">
        <v>4</v>
      </c>
      <c r="B18" s="92" t="s">
        <v>27</v>
      </c>
      <c r="C18" s="49" t="s">
        <v>13</v>
      </c>
      <c r="D18" s="171">
        <f>+E18-48.58</f>
        <v>16.19502</v>
      </c>
      <c r="E18" s="171">
        <f>+'SHEET-7'!C24</f>
        <v>64.775019999999998</v>
      </c>
      <c r="F18" s="203">
        <f>+G18-31.89-13</f>
        <v>16.800399999999996</v>
      </c>
      <c r="G18" s="206">
        <f>+'SHEET-7'!D24</f>
        <v>61.690399999999997</v>
      </c>
      <c r="H18" s="172">
        <f t="shared" si="0"/>
        <v>-3.6033665865098263E-2</v>
      </c>
      <c r="I18" s="179">
        <f>(E18-G18)/G18</f>
        <v>5.0001620997756561E-2</v>
      </c>
      <c r="J18" s="204"/>
      <c r="L18" s="107"/>
      <c r="M18" s="107"/>
    </row>
    <row r="19" spans="1:13" ht="24" customHeight="1">
      <c r="A19" s="90">
        <v>5</v>
      </c>
      <c r="B19" s="92" t="s">
        <v>28</v>
      </c>
      <c r="C19" s="49" t="s">
        <v>13</v>
      </c>
      <c r="D19" s="171">
        <f>+E19-211.05</f>
        <v>66.901945690817968</v>
      </c>
      <c r="E19" s="171">
        <f>+'SHEET-7'!C28</f>
        <v>277.95194569081798</v>
      </c>
      <c r="F19" s="203">
        <f>+G19-205.08+8</f>
        <v>65.286599999999993</v>
      </c>
      <c r="G19" s="206">
        <f>+'SHEET-7'!D28</f>
        <v>262.36660000000001</v>
      </c>
      <c r="H19" s="172">
        <f t="shared" si="0"/>
        <v>2.4742377315068866E-2</v>
      </c>
      <c r="I19" s="179">
        <f>(E19-G19)/G19</f>
        <v>5.9402933493889747E-2</v>
      </c>
      <c r="J19" s="204"/>
      <c r="L19" s="108"/>
      <c r="M19" s="108"/>
    </row>
    <row r="20" spans="1:13" ht="24" customHeight="1">
      <c r="A20" s="90">
        <v>6</v>
      </c>
      <c r="B20" s="92" t="s">
        <v>29</v>
      </c>
      <c r="C20" s="49" t="s">
        <v>13</v>
      </c>
      <c r="D20" s="171">
        <f>+E20-60.79</f>
        <v>20.390543999999998</v>
      </c>
      <c r="E20" s="171">
        <f>+'SHEET-7'!C25</f>
        <v>81.180543999999998</v>
      </c>
      <c r="F20" s="203">
        <f>+G20-58.69</f>
        <v>19.243600000000001</v>
      </c>
      <c r="G20" s="206">
        <f>+'SHEET-7'!D25</f>
        <v>77.933599999999998</v>
      </c>
      <c r="H20" s="180">
        <f t="shared" si="0"/>
        <v>5.9601321997962843E-2</v>
      </c>
      <c r="I20" s="181">
        <f>(E20-G20)/G20</f>
        <v>4.1662954104519735E-2</v>
      </c>
      <c r="J20" s="204"/>
      <c r="L20" s="108"/>
      <c r="M20" s="108"/>
    </row>
    <row r="21" spans="1:13" ht="24" customHeight="1">
      <c r="A21" s="90" t="s">
        <v>116</v>
      </c>
      <c r="B21" s="92" t="s">
        <v>117</v>
      </c>
      <c r="C21" s="49" t="s">
        <v>13</v>
      </c>
      <c r="D21" s="171">
        <f>+E21+24.13</f>
        <v>-8.680204347826102</v>
      </c>
      <c r="E21" s="171">
        <f>+'SHEET-7'!C32</f>
        <v>-32.810204347826101</v>
      </c>
      <c r="F21" s="203">
        <f>+G21+45</f>
        <v>-9.6443999999999974</v>
      </c>
      <c r="G21" s="206">
        <f>+'SHEET-7'!D32</f>
        <v>-54.644399999999997</v>
      </c>
      <c r="H21" s="199">
        <f t="shared" si="0"/>
        <v>-9.9974664279156369E-2</v>
      </c>
      <c r="I21" s="199">
        <f t="shared" si="0"/>
        <v>-0.399568769209176</v>
      </c>
      <c r="J21" s="204"/>
      <c r="L21" s="108"/>
      <c r="M21" s="108"/>
    </row>
    <row r="22" spans="1:13" ht="24" customHeight="1">
      <c r="A22" s="90">
        <v>7</v>
      </c>
      <c r="B22" s="92" t="s">
        <v>124</v>
      </c>
      <c r="C22" s="49" t="s">
        <v>13</v>
      </c>
      <c r="D22" s="171">
        <f>+E22-26</f>
        <v>9.0364500000000021</v>
      </c>
      <c r="E22" s="171">
        <f>+'SHEET-7'!C26</f>
        <v>35.036450000000002</v>
      </c>
      <c r="F22" s="203">
        <f>+G22-47.01-25</f>
        <v>13.738999999999997</v>
      </c>
      <c r="G22" s="206">
        <f>+'SHEET-7'!D26</f>
        <v>85.748999999999995</v>
      </c>
      <c r="H22" s="216">
        <f t="shared" ref="H22" si="1">(D22-F22)/F22</f>
        <v>-0.34227745833030032</v>
      </c>
      <c r="I22" s="216">
        <f t="shared" ref="I22" si="2">(E22-G22)/G22</f>
        <v>-0.59140689687343284</v>
      </c>
      <c r="J22" s="204"/>
      <c r="L22" s="108"/>
      <c r="M22" s="108"/>
    </row>
    <row r="23" spans="1:13" ht="24" customHeight="1">
      <c r="A23" s="90">
        <v>8</v>
      </c>
      <c r="B23" s="92" t="s">
        <v>30</v>
      </c>
      <c r="C23" s="49" t="s">
        <v>13</v>
      </c>
      <c r="D23" s="22">
        <f>+SUM(D15:D22)</f>
        <v>1622.7059366786857</v>
      </c>
      <c r="E23" s="22">
        <f>+SUM(E15:E22)</f>
        <v>6405.7159366786855</v>
      </c>
      <c r="F23" s="206">
        <f>+SUM(F15:F22)</f>
        <v>1381.3418999999997</v>
      </c>
      <c r="G23" s="206">
        <f>+SUM(G15:G22)</f>
        <v>6440.3419000000013</v>
      </c>
      <c r="H23" s="172">
        <f t="shared" ref="H23:I32" si="3">(D23-F23)/F23</f>
        <v>0.17473156839641663</v>
      </c>
      <c r="I23" s="179">
        <f t="shared" si="3"/>
        <v>-5.3764169447767648E-3</v>
      </c>
      <c r="J23" s="97"/>
    </row>
    <row r="24" spans="1:13" ht="24" customHeight="1">
      <c r="A24" s="90"/>
      <c r="B24" s="227" t="s">
        <v>233</v>
      </c>
      <c r="C24" s="220"/>
      <c r="D24" s="22"/>
      <c r="E24" s="22"/>
      <c r="F24" s="221"/>
      <c r="G24" s="221"/>
      <c r="H24" s="222"/>
      <c r="I24" s="179"/>
      <c r="J24" s="97"/>
    </row>
    <row r="25" spans="1:13" ht="24" customHeight="1">
      <c r="A25" s="90">
        <v>9</v>
      </c>
      <c r="B25" s="92" t="s">
        <v>87</v>
      </c>
      <c r="C25" s="220" t="s">
        <v>13</v>
      </c>
      <c r="D25" s="203">
        <f>+E25-116.32</f>
        <v>38.183897900000005</v>
      </c>
      <c r="E25" s="203">
        <f>+'SHEET-7'!C14</f>
        <v>154.5038979</v>
      </c>
      <c r="F25" s="203">
        <f>+G25-106.36-5</f>
        <v>36.985100000000003</v>
      </c>
      <c r="G25" s="224">
        <f>+'SHEET-7'!D14</f>
        <v>148.3451</v>
      </c>
      <c r="H25" s="222">
        <f t="shared" ref="H25" si="4">(D25-F25)/F25</f>
        <v>3.2412996044353062E-2</v>
      </c>
      <c r="I25" s="179">
        <f t="shared" ref="I25" si="5">(E25-G25)/G25</f>
        <v>4.1516692496078374E-2</v>
      </c>
    </row>
    <row r="26" spans="1:13" ht="24" customHeight="1">
      <c r="A26" s="90">
        <v>10</v>
      </c>
      <c r="B26" s="92" t="s">
        <v>107</v>
      </c>
      <c r="C26" s="49" t="s">
        <v>13</v>
      </c>
      <c r="D26" s="171">
        <f>+E26-4572.51</f>
        <v>1553.1671286517494</v>
      </c>
      <c r="E26" s="171">
        <f>+'SHEET-7'!C11</f>
        <v>6125.6771286517496</v>
      </c>
      <c r="F26" s="203">
        <f>+G26-4911.46+250</f>
        <v>1539.4737999999998</v>
      </c>
      <c r="G26" s="206">
        <f>+'SHEET-7'!D11</f>
        <v>6200.9337999999998</v>
      </c>
      <c r="H26" s="172">
        <f t="shared" ref="H26:I28" si="6">(D26-F26)/F26</f>
        <v>8.8948111047746671E-3</v>
      </c>
      <c r="I26" s="170">
        <f t="shared" si="6"/>
        <v>-1.2136344907963727E-2</v>
      </c>
    </row>
    <row r="27" spans="1:13" ht="24" customHeight="1">
      <c r="A27" s="90">
        <v>11</v>
      </c>
      <c r="B27" s="92" t="s">
        <v>33</v>
      </c>
      <c r="C27" s="49" t="s">
        <v>13</v>
      </c>
      <c r="D27" s="171">
        <f>+E27-51.2</f>
        <v>11.377200000000002</v>
      </c>
      <c r="E27" s="171">
        <f>+'SHEET-7'!C13</f>
        <v>62.577200000000005</v>
      </c>
      <c r="F27" s="203">
        <f>+G27-55.41+4</f>
        <v>11.167200000000008</v>
      </c>
      <c r="G27" s="206">
        <f>+'SHEET-7'!D13</f>
        <v>62.577200000000005</v>
      </c>
      <c r="H27" s="172">
        <f t="shared" si="6"/>
        <v>1.8805071996560785E-2</v>
      </c>
      <c r="I27" s="170">
        <f t="shared" si="6"/>
        <v>0</v>
      </c>
    </row>
    <row r="28" spans="1:13" ht="24" customHeight="1">
      <c r="A28" s="90">
        <v>12</v>
      </c>
      <c r="B28" s="92" t="s">
        <v>224</v>
      </c>
      <c r="C28" s="49" t="s">
        <v>13</v>
      </c>
      <c r="D28" s="171">
        <f>+E28-110.33</f>
        <v>55.725515999999985</v>
      </c>
      <c r="E28" s="171">
        <f>+'SHEET-7'!C12</f>
        <v>166.05551599999998</v>
      </c>
      <c r="F28" s="203">
        <f>+G28-84.46-18</f>
        <v>52.354799999999997</v>
      </c>
      <c r="G28" s="206">
        <f>+'SHEET-7'!D12</f>
        <v>154.81479999999999</v>
      </c>
      <c r="H28" s="172">
        <f t="shared" si="6"/>
        <v>6.4382176992367229E-2</v>
      </c>
      <c r="I28" s="170">
        <f t="shared" si="6"/>
        <v>7.2607502641866231E-2</v>
      </c>
    </row>
    <row r="29" spans="1:13" ht="24" customHeight="1">
      <c r="A29" s="90">
        <v>13</v>
      </c>
      <c r="B29" s="92" t="s">
        <v>234</v>
      </c>
      <c r="C29" s="220" t="s">
        <v>13</v>
      </c>
      <c r="D29" s="203">
        <f>+SUM(D25:D28)</f>
        <v>1658.4537425517492</v>
      </c>
      <c r="E29" s="203">
        <f t="shared" ref="E29:G29" si="7">+SUM(E25:E28)</f>
        <v>6508.8137425517498</v>
      </c>
      <c r="F29" s="203">
        <f>+SUM(F25:F28)</f>
        <v>1639.9809</v>
      </c>
      <c r="G29" s="203">
        <f t="shared" si="7"/>
        <v>6566.6708999999992</v>
      </c>
      <c r="H29" s="222">
        <f t="shared" ref="H29" si="8">(D29-F29)/F29</f>
        <v>1.1264059570296935E-2</v>
      </c>
      <c r="I29" s="223">
        <f t="shared" ref="I29" si="9">(E29-G29)/G29</f>
        <v>-8.8107289567761638E-3</v>
      </c>
    </row>
    <row r="30" spans="1:13" ht="24" customHeight="1">
      <c r="A30" s="90">
        <v>14</v>
      </c>
      <c r="B30" s="92" t="s">
        <v>118</v>
      </c>
      <c r="C30" s="49" t="s">
        <v>34</v>
      </c>
      <c r="D30" s="244">
        <f>D15/D23</f>
        <v>0.83468604470151542</v>
      </c>
      <c r="E30" s="172">
        <f>E15/E23</f>
        <v>0.83814206765836285</v>
      </c>
      <c r="F30" s="240">
        <f>F15/F23</f>
        <v>0.81082026108090965</v>
      </c>
      <c r="G30" s="202">
        <f>G15/G23</f>
        <v>0.84252048792626966</v>
      </c>
      <c r="H30" s="172">
        <f>D30-F30</f>
        <v>2.3865783620605763E-2</v>
      </c>
      <c r="I30" s="172">
        <f>E30-G30</f>
        <v>-4.3784202679068018E-3</v>
      </c>
    </row>
    <row r="31" spans="1:13" ht="24" customHeight="1">
      <c r="A31" s="90"/>
      <c r="B31" s="92"/>
      <c r="C31" s="220"/>
      <c r="D31" s="222"/>
      <c r="E31" s="222"/>
      <c r="F31" s="222"/>
      <c r="G31" s="222"/>
      <c r="H31" s="222"/>
      <c r="I31" s="226"/>
    </row>
    <row r="32" spans="1:13" ht="24" customHeight="1">
      <c r="A32" s="90">
        <v>15</v>
      </c>
      <c r="B32" s="92" t="s">
        <v>31</v>
      </c>
      <c r="C32" s="49" t="s">
        <v>13</v>
      </c>
      <c r="D32" s="171">
        <f>+E32-63.92-70</f>
        <v>117.63</v>
      </c>
      <c r="E32" s="171">
        <v>251.55</v>
      </c>
      <c r="F32" s="203">
        <f>+G32-77.75-30</f>
        <v>106.38</v>
      </c>
      <c r="G32" s="203">
        <v>214.13</v>
      </c>
      <c r="H32" s="172">
        <f t="shared" si="3"/>
        <v>0.10575296108291032</v>
      </c>
      <c r="I32" s="179">
        <f t="shared" si="3"/>
        <v>0.17475365432214082</v>
      </c>
    </row>
    <row r="33" spans="1:9" ht="24" customHeight="1">
      <c r="A33" s="90">
        <v>16</v>
      </c>
      <c r="B33" s="92" t="s">
        <v>32</v>
      </c>
      <c r="C33" s="49" t="s">
        <v>13</v>
      </c>
      <c r="D33" s="171">
        <v>0</v>
      </c>
      <c r="E33" s="171">
        <f>+D33</f>
        <v>0</v>
      </c>
      <c r="F33" s="203">
        <v>0</v>
      </c>
      <c r="G33" s="203">
        <f>+F33</f>
        <v>0</v>
      </c>
      <c r="H33" s="216">
        <v>0</v>
      </c>
      <c r="I33" s="179">
        <v>0</v>
      </c>
    </row>
    <row r="34" spans="1:9" ht="24" customHeight="1">
      <c r="A34" s="90">
        <v>17</v>
      </c>
      <c r="B34" s="92" t="s">
        <v>229</v>
      </c>
      <c r="C34" s="49" t="s">
        <v>13</v>
      </c>
      <c r="D34" s="169">
        <v>0</v>
      </c>
      <c r="E34" s="169">
        <f>+D34</f>
        <v>0</v>
      </c>
      <c r="F34" s="239">
        <v>0</v>
      </c>
      <c r="G34" s="239">
        <f>+F34</f>
        <v>0</v>
      </c>
      <c r="H34" s="216">
        <v>0</v>
      </c>
      <c r="I34" s="179">
        <v>0</v>
      </c>
    </row>
    <row r="42" spans="1:9" ht="12.75" customHeight="1">
      <c r="A42" s="320"/>
      <c r="B42" s="320"/>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3" zoomScale="60" zoomScaleNormal="60" workbookViewId="0">
      <selection activeCell="F29" sqref="F29"/>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38" t="s">
        <v>0</v>
      </c>
      <c r="B5" s="338"/>
      <c r="C5" s="338"/>
      <c r="D5" s="338"/>
      <c r="E5" s="338"/>
      <c r="F5" s="338"/>
      <c r="G5" s="338"/>
      <c r="H5" s="338"/>
      <c r="I5" s="338"/>
    </row>
    <row r="7" spans="1:9" ht="27.75">
      <c r="A7" s="347" t="s">
        <v>20</v>
      </c>
      <c r="B7" s="347"/>
      <c r="C7" s="347"/>
      <c r="D7" s="347"/>
      <c r="E7" s="347"/>
      <c r="F7" s="347"/>
      <c r="G7" s="347"/>
      <c r="H7" s="347"/>
      <c r="I7" s="347"/>
    </row>
    <row r="9" spans="1:9" ht="27.75">
      <c r="A9" s="347" t="s">
        <v>24</v>
      </c>
      <c r="B9" s="347"/>
      <c r="C9" s="347"/>
      <c r="D9" s="347"/>
      <c r="E9" s="347"/>
      <c r="F9" s="347"/>
      <c r="G9" s="347"/>
      <c r="H9" s="347"/>
      <c r="I9" s="347"/>
    </row>
    <row r="10" spans="1:9" ht="13.5" thickBot="1"/>
    <row r="11" spans="1:9" ht="21.6" customHeight="1">
      <c r="A11" s="60"/>
      <c r="B11" s="61"/>
      <c r="C11" s="61"/>
      <c r="D11" s="350" t="s">
        <v>16</v>
      </c>
      <c r="E11" s="350"/>
      <c r="F11" s="350" t="s">
        <v>66</v>
      </c>
      <c r="G11" s="350"/>
      <c r="H11" s="350" t="s">
        <v>17</v>
      </c>
      <c r="I11" s="351"/>
    </row>
    <row r="12" spans="1:9" ht="21.6" customHeight="1">
      <c r="A12" s="62"/>
      <c r="B12" s="54"/>
      <c r="C12" s="54"/>
      <c r="D12" s="54" t="s">
        <v>14</v>
      </c>
      <c r="E12" s="54" t="s">
        <v>15</v>
      </c>
      <c r="F12" s="54" t="s">
        <v>14</v>
      </c>
      <c r="G12" s="54" t="s">
        <v>15</v>
      </c>
      <c r="H12" s="352" t="s">
        <v>14</v>
      </c>
      <c r="I12" s="353" t="s">
        <v>15</v>
      </c>
    </row>
    <row r="13" spans="1:9" ht="21.6" customHeight="1">
      <c r="A13" s="62" t="s">
        <v>38</v>
      </c>
      <c r="B13" s="54" t="s">
        <v>100</v>
      </c>
      <c r="C13" s="54"/>
      <c r="D13" s="330" t="str">
        <f>+'SHEET-3'!D14:E14</f>
        <v>Jan-2021 to Mar-2021</v>
      </c>
      <c r="E13" s="330"/>
      <c r="F13" s="330" t="str">
        <f>+'SHEET-3'!F14:G14</f>
        <v>Jan-2020 to Mar-2020</v>
      </c>
      <c r="G13" s="330"/>
      <c r="H13" s="352"/>
      <c r="I13" s="353"/>
    </row>
    <row r="14" spans="1:9" ht="21.6" customHeight="1">
      <c r="A14" s="64">
        <v>1</v>
      </c>
      <c r="B14" s="65" t="s">
        <v>4</v>
      </c>
      <c r="C14" s="66" t="s">
        <v>81</v>
      </c>
      <c r="D14" s="225">
        <v>2391</v>
      </c>
      <c r="E14" s="225">
        <f>D14</f>
        <v>2391</v>
      </c>
      <c r="F14" s="225">
        <v>2292</v>
      </c>
      <c r="G14" s="225">
        <v>2292</v>
      </c>
      <c r="H14" s="157">
        <f>(D14-F14)/F14</f>
        <v>4.3193717277486908E-2</v>
      </c>
      <c r="I14" s="158">
        <f>(E14-G14)/G14</f>
        <v>4.3193717277486908E-2</v>
      </c>
    </row>
    <row r="15" spans="1:9" ht="21.6" customHeight="1">
      <c r="A15" s="64">
        <v>2</v>
      </c>
      <c r="B15" s="65" t="s">
        <v>101</v>
      </c>
      <c r="C15" s="66" t="s">
        <v>81</v>
      </c>
      <c r="D15" s="225">
        <v>0</v>
      </c>
      <c r="E15" s="225">
        <v>0</v>
      </c>
      <c r="F15" s="225">
        <v>0</v>
      </c>
      <c r="G15" s="225">
        <v>0</v>
      </c>
      <c r="H15" s="194" t="e">
        <f t="shared" ref="H15:H25" si="0">(D15-F15)/F15</f>
        <v>#DIV/0!</v>
      </c>
      <c r="I15" s="195" t="e">
        <f t="shared" ref="I15:I25" si="1">(E15-G15)/G15</f>
        <v>#DIV/0!</v>
      </c>
    </row>
    <row r="16" spans="1:9" ht="21.6" customHeight="1">
      <c r="A16" s="64">
        <v>3</v>
      </c>
      <c r="B16" s="65" t="s">
        <v>7</v>
      </c>
      <c r="C16" s="66" t="s">
        <v>81</v>
      </c>
      <c r="D16" s="225">
        <v>0</v>
      </c>
      <c r="E16" s="225">
        <v>0</v>
      </c>
      <c r="F16" s="225">
        <v>0</v>
      </c>
      <c r="G16" s="225">
        <v>0</v>
      </c>
      <c r="H16" s="157">
        <v>0</v>
      </c>
      <c r="I16" s="158">
        <v>0</v>
      </c>
    </row>
    <row r="17" spans="1:14" ht="24" customHeight="1">
      <c r="A17" s="64">
        <v>4</v>
      </c>
      <c r="B17" s="65" t="s">
        <v>8</v>
      </c>
      <c r="C17" s="66" t="s">
        <v>81</v>
      </c>
      <c r="D17" s="225">
        <f>+SUM(D14:D16)</f>
        <v>2391</v>
      </c>
      <c r="E17" s="225">
        <f>+SUM(E14:E16)</f>
        <v>2391</v>
      </c>
      <c r="F17" s="225">
        <v>2292</v>
      </c>
      <c r="G17" s="225">
        <v>2292</v>
      </c>
      <c r="H17" s="157">
        <f t="shared" si="0"/>
        <v>4.3193717277486908E-2</v>
      </c>
      <c r="I17" s="158">
        <f t="shared" si="1"/>
        <v>4.3193717277486908E-2</v>
      </c>
    </row>
    <row r="18" spans="1:14" ht="21.6" customHeight="1">
      <c r="A18" s="64">
        <v>5</v>
      </c>
      <c r="B18" s="65" t="s">
        <v>2</v>
      </c>
      <c r="C18" s="66" t="s">
        <v>81</v>
      </c>
      <c r="D18" s="225">
        <v>2750115</v>
      </c>
      <c r="E18" s="225">
        <f>D18</f>
        <v>2750115</v>
      </c>
      <c r="F18" s="225">
        <v>2693137</v>
      </c>
      <c r="G18" s="225">
        <v>2693137</v>
      </c>
      <c r="H18" s="157">
        <f t="shared" si="0"/>
        <v>2.1156740262378036E-2</v>
      </c>
      <c r="I18" s="158">
        <f t="shared" si="1"/>
        <v>2.1156740262378036E-2</v>
      </c>
    </row>
    <row r="19" spans="1:14" ht="21.6" customHeight="1">
      <c r="A19" s="64">
        <v>6</v>
      </c>
      <c r="B19" s="65" t="s">
        <v>3</v>
      </c>
      <c r="C19" s="66" t="s">
        <v>81</v>
      </c>
      <c r="D19" s="345">
        <f>25111+344647</f>
        <v>369758</v>
      </c>
      <c r="E19" s="345">
        <f>D19</f>
        <v>369758</v>
      </c>
      <c r="F19" s="345">
        <v>356517</v>
      </c>
      <c r="G19" s="345">
        <v>356517</v>
      </c>
      <c r="H19" s="348">
        <f t="shared" ref="H19" si="2">(D19-F19)/F19</f>
        <v>3.7139883932603493E-2</v>
      </c>
      <c r="I19" s="339">
        <f t="shared" ref="I19" si="3">(E19-G19)/G19</f>
        <v>3.7139883932603493E-2</v>
      </c>
      <c r="M19" s="67"/>
      <c r="N19" s="68"/>
    </row>
    <row r="20" spans="1:14" ht="21.6" customHeight="1">
      <c r="A20" s="64">
        <v>7</v>
      </c>
      <c r="B20" s="65" t="s">
        <v>1</v>
      </c>
      <c r="C20" s="66" t="s">
        <v>81</v>
      </c>
      <c r="D20" s="346"/>
      <c r="E20" s="346"/>
      <c r="F20" s="346"/>
      <c r="G20" s="346"/>
      <c r="H20" s="349"/>
      <c r="I20" s="340"/>
      <c r="M20" s="67"/>
      <c r="N20" s="68"/>
    </row>
    <row r="21" spans="1:14" ht="21.6" customHeight="1">
      <c r="A21" s="64">
        <v>8</v>
      </c>
      <c r="B21" s="65" t="s">
        <v>119</v>
      </c>
      <c r="C21" s="66" t="s">
        <v>81</v>
      </c>
      <c r="D21" s="225">
        <v>33992</v>
      </c>
      <c r="E21" s="225">
        <f>D21</f>
        <v>33992</v>
      </c>
      <c r="F21" s="225">
        <v>32433</v>
      </c>
      <c r="G21" s="225">
        <v>32433</v>
      </c>
      <c r="H21" s="157">
        <f t="shared" si="0"/>
        <v>4.8068325470970924E-2</v>
      </c>
      <c r="I21" s="158">
        <f t="shared" si="1"/>
        <v>4.8068325470970924E-2</v>
      </c>
      <c r="M21" s="67"/>
      <c r="N21" s="68"/>
    </row>
    <row r="22" spans="1:14" ht="24" customHeight="1">
      <c r="A22" s="64">
        <v>9</v>
      </c>
      <c r="B22" s="65" t="s">
        <v>10</v>
      </c>
      <c r="C22" s="66" t="s">
        <v>81</v>
      </c>
      <c r="D22" s="225">
        <f>SUM(D18:D21)</f>
        <v>3153865</v>
      </c>
      <c r="E22" s="225">
        <f>+SUM(E18:E21)</f>
        <v>3153865</v>
      </c>
      <c r="F22" s="225">
        <v>3082087</v>
      </c>
      <c r="G22" s="225">
        <v>3082087</v>
      </c>
      <c r="H22" s="157">
        <f t="shared" si="0"/>
        <v>2.3288765047839336E-2</v>
      </c>
      <c r="I22" s="158">
        <f t="shared" si="1"/>
        <v>2.3288765047839336E-2</v>
      </c>
    </row>
    <row r="23" spans="1:14" ht="21.6" customHeight="1">
      <c r="A23" s="64">
        <v>10</v>
      </c>
      <c r="B23" s="65" t="s">
        <v>5</v>
      </c>
      <c r="C23" s="66" t="s">
        <v>81</v>
      </c>
      <c r="D23" s="225">
        <f>190597+10</f>
        <v>190607</v>
      </c>
      <c r="E23" s="225">
        <f>D23</f>
        <v>190607</v>
      </c>
      <c r="F23" s="225">
        <v>178873</v>
      </c>
      <c r="G23" s="225">
        <v>178873</v>
      </c>
      <c r="H23" s="157">
        <f t="shared" si="0"/>
        <v>6.559961536956388E-2</v>
      </c>
      <c r="I23" s="158">
        <f t="shared" si="1"/>
        <v>6.559961536956388E-2</v>
      </c>
      <c r="M23" s="67"/>
      <c r="N23" s="68"/>
    </row>
    <row r="24" spans="1:14" ht="24" customHeight="1">
      <c r="A24" s="64">
        <v>11</v>
      </c>
      <c r="B24" s="65" t="s">
        <v>11</v>
      </c>
      <c r="C24" s="66" t="s">
        <v>81</v>
      </c>
      <c r="D24" s="225">
        <f>+D22+D23</f>
        <v>3344472</v>
      </c>
      <c r="E24" s="225">
        <f>+E22+E23</f>
        <v>3344472</v>
      </c>
      <c r="F24" s="225">
        <v>3260960</v>
      </c>
      <c r="G24" s="225">
        <v>3260960</v>
      </c>
      <c r="H24" s="157">
        <f t="shared" si="0"/>
        <v>2.5609636426083118E-2</v>
      </c>
      <c r="I24" s="158">
        <f t="shared" si="1"/>
        <v>2.5609636426083118E-2</v>
      </c>
      <c r="M24" s="67"/>
      <c r="N24" s="68"/>
    </row>
    <row r="25" spans="1:14" ht="31.5" customHeight="1" thickBot="1">
      <c r="A25" s="69">
        <v>12</v>
      </c>
      <c r="B25" s="70" t="s">
        <v>104</v>
      </c>
      <c r="C25" s="71" t="s">
        <v>81</v>
      </c>
      <c r="D25" s="218">
        <f>+D24+D17</f>
        <v>3346863</v>
      </c>
      <c r="E25" s="218">
        <f>+E24+E17</f>
        <v>3346863</v>
      </c>
      <c r="F25" s="218">
        <v>3263252</v>
      </c>
      <c r="G25" s="218">
        <v>3263252</v>
      </c>
      <c r="H25" s="159">
        <f t="shared" si="0"/>
        <v>2.5621986901410005E-2</v>
      </c>
      <c r="I25" s="160">
        <f t="shared" si="1"/>
        <v>2.5621986901410005E-2</v>
      </c>
      <c r="M25" s="67"/>
      <c r="N25" s="68"/>
    </row>
    <row r="26" spans="1:14" ht="12" customHeight="1">
      <c r="A26" s="113"/>
      <c r="B26" s="114"/>
      <c r="C26" s="115"/>
      <c r="D26" s="116"/>
      <c r="E26" s="116"/>
      <c r="F26" s="116"/>
      <c r="G26" s="116"/>
      <c r="H26" s="155"/>
      <c r="I26" s="156"/>
    </row>
    <row r="27" spans="1:14" ht="28.5" customHeight="1">
      <c r="A27" s="117" t="s">
        <v>6</v>
      </c>
      <c r="B27" s="112" t="s">
        <v>44</v>
      </c>
      <c r="C27" s="115"/>
      <c r="D27" s="248"/>
      <c r="E27" s="248"/>
      <c r="F27" s="248"/>
      <c r="G27" s="248"/>
      <c r="H27" s="155"/>
      <c r="I27" s="156"/>
    </row>
    <row r="28" spans="1:14" ht="12" customHeight="1" thickBot="1">
      <c r="A28" s="113"/>
      <c r="B28" s="114"/>
      <c r="C28" s="115"/>
      <c r="D28" s="116"/>
      <c r="E28" s="116"/>
      <c r="F28" s="116"/>
      <c r="G28" s="116"/>
      <c r="H28" s="155"/>
      <c r="I28" s="156"/>
    </row>
    <row r="29" spans="1:14" ht="21.6" customHeight="1" thickBot="1">
      <c r="A29" s="76">
        <v>1</v>
      </c>
      <c r="B29" s="77" t="s">
        <v>4</v>
      </c>
      <c r="C29" s="118" t="s">
        <v>23</v>
      </c>
      <c r="D29" s="185">
        <f>+E29-2430.69-500-100</f>
        <v>853.35055650000004</v>
      </c>
      <c r="E29" s="56">
        <v>3884.0405565000001</v>
      </c>
      <c r="F29" s="185">
        <f>+G29-2969.145</f>
        <v>798.35218525999926</v>
      </c>
      <c r="G29" s="56">
        <v>3767.4971852599992</v>
      </c>
      <c r="H29" s="183">
        <f>(D29-F29)/F29</f>
        <v>6.888986121092594E-2</v>
      </c>
      <c r="I29" s="184">
        <f>(E29-G29)/G29</f>
        <v>3.0933897361879001E-2</v>
      </c>
    </row>
    <row r="30" spans="1:14" ht="21.6" customHeight="1" thickBot="1">
      <c r="A30" s="64">
        <v>2</v>
      </c>
      <c r="B30" s="65" t="s">
        <v>101</v>
      </c>
      <c r="C30" s="66" t="s">
        <v>23</v>
      </c>
      <c r="D30" s="186">
        <v>0</v>
      </c>
      <c r="E30" s="169">
        <f>+D30</f>
        <v>0</v>
      </c>
      <c r="F30" s="228">
        <f>G30-0</f>
        <v>0</v>
      </c>
      <c r="G30" s="228">
        <v>0</v>
      </c>
      <c r="H30" s="194" t="e">
        <f t="shared" ref="H30:H40" si="4">(D30-F30)/F30</f>
        <v>#DIV/0!</v>
      </c>
      <c r="I30" s="195" t="e">
        <f t="shared" ref="I30:I40" si="5">(E30-G30)/G30</f>
        <v>#DIV/0!</v>
      </c>
    </row>
    <row r="31" spans="1:14" ht="21.6" customHeight="1">
      <c r="A31" s="64">
        <v>3</v>
      </c>
      <c r="B31" s="65" t="s">
        <v>7</v>
      </c>
      <c r="C31" s="66" t="s">
        <v>23</v>
      </c>
      <c r="D31" s="186">
        <v>0</v>
      </c>
      <c r="E31" s="169">
        <v>0</v>
      </c>
      <c r="F31" s="228">
        <v>0</v>
      </c>
      <c r="G31" s="228">
        <v>0</v>
      </c>
      <c r="H31" s="157">
        <v>0</v>
      </c>
      <c r="I31" s="158">
        <v>0</v>
      </c>
    </row>
    <row r="32" spans="1:14" ht="24" customHeight="1">
      <c r="A32" s="64">
        <v>4</v>
      </c>
      <c r="B32" s="65" t="s">
        <v>8</v>
      </c>
      <c r="C32" s="66" t="s">
        <v>23</v>
      </c>
      <c r="D32" s="186">
        <f>D29+D30</f>
        <v>853.35055650000004</v>
      </c>
      <c r="E32" s="169">
        <f>E29+E30</f>
        <v>3884.0405565000001</v>
      </c>
      <c r="F32" s="186">
        <f>F29+F30</f>
        <v>798.35218525999926</v>
      </c>
      <c r="G32" s="239">
        <f>G29+G30</f>
        <v>3767.4971852599992</v>
      </c>
      <c r="H32" s="157">
        <f t="shared" si="4"/>
        <v>6.888986121092594E-2</v>
      </c>
      <c r="I32" s="158">
        <f t="shared" si="5"/>
        <v>3.0933897361879001E-2</v>
      </c>
      <c r="M32" s="67"/>
      <c r="N32" s="68"/>
    </row>
    <row r="33" spans="1:14" ht="21.6" customHeight="1">
      <c r="A33" s="64">
        <v>5</v>
      </c>
      <c r="B33" s="65" t="s">
        <v>2</v>
      </c>
      <c r="C33" s="66" t="s">
        <v>23</v>
      </c>
      <c r="D33" s="186">
        <f>+E33-2392.41</f>
        <v>427.08526499999971</v>
      </c>
      <c r="E33" s="169">
        <v>2819.4952649999996</v>
      </c>
      <c r="F33" s="186">
        <f>+G33-2247.089</f>
        <v>472.98872342000004</v>
      </c>
      <c r="G33" s="239">
        <v>2720.07772342</v>
      </c>
      <c r="H33" s="157">
        <f t="shared" si="4"/>
        <v>-9.7049794523831417E-2</v>
      </c>
      <c r="I33" s="158">
        <f t="shared" si="5"/>
        <v>3.6549522362544926E-2</v>
      </c>
      <c r="M33" s="67"/>
      <c r="N33" s="68"/>
    </row>
    <row r="34" spans="1:14" ht="21.6" customHeight="1">
      <c r="A34" s="64">
        <v>6</v>
      </c>
      <c r="B34" s="65" t="s">
        <v>3</v>
      </c>
      <c r="C34" s="66" t="s">
        <v>23</v>
      </c>
      <c r="D34" s="341">
        <f>+E34-1170.74</f>
        <v>392.76299999999992</v>
      </c>
      <c r="E34" s="313">
        <v>1563.5029999999999</v>
      </c>
      <c r="F34" s="341">
        <f>+G34-1329.509+55</f>
        <v>403.154</v>
      </c>
      <c r="G34" s="313">
        <v>1677.663</v>
      </c>
      <c r="H34" s="343">
        <f t="shared" si="4"/>
        <v>-2.5774269881980772E-2</v>
      </c>
      <c r="I34" s="339">
        <f t="shared" si="5"/>
        <v>-6.8047039244472862E-2</v>
      </c>
      <c r="M34" s="67"/>
      <c r="N34" s="68"/>
    </row>
    <row r="35" spans="1:14" ht="21.6" customHeight="1">
      <c r="A35" s="64">
        <v>7</v>
      </c>
      <c r="B35" s="65" t="s">
        <v>1</v>
      </c>
      <c r="C35" s="66" t="s">
        <v>23</v>
      </c>
      <c r="D35" s="342"/>
      <c r="E35" s="315"/>
      <c r="F35" s="342"/>
      <c r="G35" s="315"/>
      <c r="H35" s="344"/>
      <c r="I35" s="340"/>
    </row>
    <row r="36" spans="1:14" ht="21.6" customHeight="1">
      <c r="A36" s="64">
        <v>8</v>
      </c>
      <c r="B36" s="65" t="s">
        <v>119</v>
      </c>
      <c r="C36" s="66" t="s">
        <v>23</v>
      </c>
      <c r="D36" s="186">
        <f>+E36-253.49</f>
        <v>109.065</v>
      </c>
      <c r="E36" s="169">
        <v>362.55500000000001</v>
      </c>
      <c r="F36" s="186">
        <f>+G36-291.073+27</f>
        <v>111.476</v>
      </c>
      <c r="G36" s="239">
        <v>375.54899999999998</v>
      </c>
      <c r="H36" s="157">
        <f t="shared" si="4"/>
        <v>-2.1627973734256713E-2</v>
      </c>
      <c r="I36" s="158">
        <f t="shared" si="5"/>
        <v>-3.4600012248734442E-2</v>
      </c>
    </row>
    <row r="37" spans="1:14" ht="24" customHeight="1">
      <c r="A37" s="64">
        <v>9</v>
      </c>
      <c r="B37" s="65" t="s">
        <v>10</v>
      </c>
      <c r="C37" s="66" t="s">
        <v>23</v>
      </c>
      <c r="D37" s="186">
        <f>SUM(D33:D36)</f>
        <v>928.91326499999968</v>
      </c>
      <c r="E37" s="169">
        <f>SUM(E33:E36)</f>
        <v>4745.5532649999996</v>
      </c>
      <c r="F37" s="186">
        <f>SUM(F33:F36)</f>
        <v>987.61872342000004</v>
      </c>
      <c r="G37" s="239">
        <f>SUM(G33:G36)</f>
        <v>4773.28972342</v>
      </c>
      <c r="H37" s="157">
        <f t="shared" si="4"/>
        <v>-5.9441419069811374E-2</v>
      </c>
      <c r="I37" s="158">
        <f t="shared" si="5"/>
        <v>-5.810763650886795E-3</v>
      </c>
      <c r="M37" s="67"/>
      <c r="N37" s="68"/>
    </row>
    <row r="38" spans="1:14" ht="21.6" customHeight="1">
      <c r="A38" s="64">
        <v>10</v>
      </c>
      <c r="B38" s="65" t="s">
        <v>102</v>
      </c>
      <c r="C38" s="66" t="s">
        <v>23</v>
      </c>
      <c r="D38" s="186">
        <f>+E38-965.02</f>
        <v>398.31799999999998</v>
      </c>
      <c r="E38" s="169">
        <v>1363.338</v>
      </c>
      <c r="F38" s="186">
        <f>+G38-845.252</f>
        <v>368.06100000000015</v>
      </c>
      <c r="G38" s="239">
        <v>1213.3130000000001</v>
      </c>
      <c r="H38" s="157">
        <f t="shared" si="4"/>
        <v>8.2206482077698595E-2</v>
      </c>
      <c r="I38" s="158">
        <f t="shared" si="5"/>
        <v>0.12364905016265371</v>
      </c>
      <c r="M38" s="67"/>
      <c r="N38" s="68"/>
    </row>
    <row r="39" spans="1:14" ht="24" customHeight="1">
      <c r="A39" s="64">
        <v>11</v>
      </c>
      <c r="B39" s="65" t="s">
        <v>11</v>
      </c>
      <c r="C39" s="66" t="s">
        <v>23</v>
      </c>
      <c r="D39" s="186">
        <f>SUM(D37:D38)</f>
        <v>1327.2312649999997</v>
      </c>
      <c r="E39" s="169">
        <f>SUM(E37:E38)</f>
        <v>6108.8912649999993</v>
      </c>
      <c r="F39" s="186">
        <f>SUM(F37:F38)</f>
        <v>1355.6797234200003</v>
      </c>
      <c r="G39" s="239">
        <f>SUM(G37:G38)</f>
        <v>5986.6027234200001</v>
      </c>
      <c r="H39" s="157">
        <f t="shared" si="4"/>
        <v>-2.0984645509215954E-2</v>
      </c>
      <c r="I39" s="158">
        <f t="shared" si="5"/>
        <v>2.0427034702269128E-2</v>
      </c>
      <c r="M39" s="67"/>
      <c r="N39" s="68"/>
    </row>
    <row r="40" spans="1:14" ht="31.5" customHeight="1" thickBot="1">
      <c r="A40" s="69">
        <v>12</v>
      </c>
      <c r="B40" s="70" t="s">
        <v>12</v>
      </c>
      <c r="C40" s="71" t="s">
        <v>23</v>
      </c>
      <c r="D40" s="187">
        <f>D32+D39</f>
        <v>2180.5818214999999</v>
      </c>
      <c r="E40" s="57">
        <f>E32+E39</f>
        <v>9992.9318214999985</v>
      </c>
      <c r="F40" s="187">
        <f>F32+F39</f>
        <v>2154.0319086799996</v>
      </c>
      <c r="G40" s="57">
        <f>G32+G39</f>
        <v>9754.0999086800002</v>
      </c>
      <c r="H40" s="159">
        <f t="shared" si="4"/>
        <v>1.2325682230153349E-2</v>
      </c>
      <c r="I40" s="160">
        <f t="shared" si="5"/>
        <v>2.4485284655272596E-2</v>
      </c>
    </row>
    <row r="41" spans="1:14">
      <c r="D41" s="136"/>
      <c r="E41" s="136"/>
      <c r="H41" s="136"/>
      <c r="I41" s="136"/>
    </row>
    <row r="43" spans="1:14" ht="12.75" customHeight="1">
      <c r="A43" s="320"/>
      <c r="B43" s="320"/>
    </row>
    <row r="52" spans="4:6" ht="23.25">
      <c r="D52" s="119">
        <v>1639.71</v>
      </c>
      <c r="E52" s="119">
        <v>5096.3599999999997</v>
      </c>
    </row>
    <row r="57" spans="4:6" ht="26.25">
      <c r="D57" s="83">
        <v>335.74</v>
      </c>
      <c r="E57" s="83">
        <v>335.74</v>
      </c>
      <c r="F57" s="120">
        <f>D40-D52</f>
        <v>540.8718214999999</v>
      </c>
    </row>
    <row r="58" spans="4:6" ht="26.25">
      <c r="D58" s="83">
        <v>346.72</v>
      </c>
      <c r="E58" s="83">
        <v>346.72</v>
      </c>
      <c r="F58" s="120">
        <f>E40-E52</f>
        <v>4896.5718214999988</v>
      </c>
    </row>
    <row r="59" spans="4:6" ht="26.25">
      <c r="D59" s="83">
        <f>SUM(D57:D58)</f>
        <v>682.46</v>
      </c>
      <c r="E59" s="83">
        <f>SUM(E57:E58)</f>
        <v>682.46</v>
      </c>
    </row>
    <row r="64" spans="4:6" ht="20.100000000000001" customHeight="1">
      <c r="D64" s="121" t="s">
        <v>219</v>
      </c>
      <c r="E64" s="121" t="s">
        <v>220</v>
      </c>
    </row>
    <row r="65" spans="3:6" ht="20.100000000000001" customHeight="1">
      <c r="C65" s="122" t="s">
        <v>221</v>
      </c>
      <c r="D65" s="123">
        <v>153.19999999999999</v>
      </c>
      <c r="E65" s="123">
        <v>171.66</v>
      </c>
      <c r="F65" s="124">
        <f>(D65-E65)/E65</f>
        <v>-0.1075381568216242</v>
      </c>
    </row>
    <row r="66" spans="3:6" ht="20.100000000000001" customHeight="1">
      <c r="C66" s="122" t="s">
        <v>222</v>
      </c>
      <c r="D66" s="123">
        <v>136.37</v>
      </c>
      <c r="E66" s="123">
        <v>136.62</v>
      </c>
      <c r="F66" s="124">
        <f>(D66-E66)/E66</f>
        <v>-1.8298931342409603E-3</v>
      </c>
    </row>
    <row r="67" spans="3:6" ht="20.100000000000001" customHeight="1">
      <c r="C67" s="122"/>
      <c r="D67" s="123">
        <f>SUM(D65:D66)</f>
        <v>289.57</v>
      </c>
      <c r="E67" s="123">
        <f>SUM(E65:E66)</f>
        <v>308.27999999999997</v>
      </c>
      <c r="F67" s="124">
        <f>(D67-E67)/E67</f>
        <v>-6.0691579083949593E-2</v>
      </c>
    </row>
    <row r="68" spans="3:6" ht="20.100000000000001" customHeight="1"/>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9" zoomScale="60" zoomScaleNormal="50" workbookViewId="0">
      <selection activeCell="D15" sqref="D15"/>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9" ht="33">
      <c r="I2" s="59" t="s">
        <v>22</v>
      </c>
    </row>
    <row r="5" spans="1:9" ht="30">
      <c r="A5" s="338" t="s">
        <v>0</v>
      </c>
      <c r="B5" s="338"/>
      <c r="C5" s="338"/>
      <c r="D5" s="338"/>
      <c r="E5" s="338"/>
      <c r="F5" s="338"/>
      <c r="G5" s="338"/>
      <c r="H5" s="338"/>
      <c r="I5" s="338"/>
    </row>
    <row r="7" spans="1:9" ht="27.75">
      <c r="A7" s="347" t="s">
        <v>20</v>
      </c>
      <c r="B7" s="347"/>
      <c r="C7" s="347"/>
      <c r="D7" s="347"/>
      <c r="E7" s="347"/>
      <c r="F7" s="347"/>
      <c r="G7" s="347"/>
      <c r="H7" s="347"/>
      <c r="I7" s="347"/>
    </row>
    <row r="9" spans="1:9" ht="27.75">
      <c r="A9" s="347" t="s">
        <v>19</v>
      </c>
      <c r="B9" s="347"/>
      <c r="C9" s="347"/>
      <c r="D9" s="347"/>
      <c r="E9" s="347"/>
      <c r="F9" s="347"/>
      <c r="G9" s="347"/>
      <c r="H9" s="347"/>
      <c r="I9" s="347"/>
    </row>
    <row r="10" spans="1:9" ht="13.5" thickBot="1"/>
    <row r="11" spans="1:9" ht="21.6" customHeight="1">
      <c r="A11" s="60"/>
      <c r="B11" s="61"/>
      <c r="C11" s="61"/>
      <c r="D11" s="350" t="s">
        <v>16</v>
      </c>
      <c r="E11" s="350"/>
      <c r="F11" s="350" t="s">
        <v>83</v>
      </c>
      <c r="G11" s="350"/>
      <c r="H11" s="350" t="s">
        <v>17</v>
      </c>
      <c r="I11" s="351"/>
    </row>
    <row r="12" spans="1:9" ht="21.6" customHeight="1">
      <c r="A12" s="62"/>
      <c r="B12" s="54"/>
      <c r="C12" s="54"/>
      <c r="D12" s="54" t="s">
        <v>14</v>
      </c>
      <c r="E12" s="54" t="s">
        <v>15</v>
      </c>
      <c r="F12" s="54" t="s">
        <v>14</v>
      </c>
      <c r="G12" s="54" t="s">
        <v>15</v>
      </c>
      <c r="H12" s="352" t="s">
        <v>14</v>
      </c>
      <c r="I12" s="353" t="s">
        <v>15</v>
      </c>
    </row>
    <row r="13" spans="1:9" ht="21.6" customHeight="1">
      <c r="A13" s="62" t="s">
        <v>45</v>
      </c>
      <c r="B13" s="63" t="s">
        <v>121</v>
      </c>
      <c r="C13" s="54"/>
      <c r="D13" s="330" t="str">
        <f>+'SHEET-4'!D13:E13</f>
        <v>Jan-2021 to Mar-2021</v>
      </c>
      <c r="E13" s="330"/>
      <c r="F13" s="330" t="str">
        <f>+'SHEET-4'!F13:G13</f>
        <v>Jan-2020 to Mar-2020</v>
      </c>
      <c r="G13" s="330"/>
      <c r="H13" s="352"/>
      <c r="I13" s="353"/>
    </row>
    <row r="14" spans="1:9" ht="21.6" customHeight="1">
      <c r="A14" s="64">
        <v>1</v>
      </c>
      <c r="B14" s="65" t="s">
        <v>4</v>
      </c>
      <c r="C14" s="66" t="s">
        <v>13</v>
      </c>
      <c r="D14" s="169">
        <f>+E14-1930.45-250</f>
        <v>617.85000000000014</v>
      </c>
      <c r="E14" s="169">
        <v>2798.3</v>
      </c>
      <c r="F14" s="243">
        <f>+G14-2198.42</f>
        <v>578.63789999999972</v>
      </c>
      <c r="G14" s="243">
        <f>277705.79/100</f>
        <v>2777.0578999999998</v>
      </c>
      <c r="H14" s="157">
        <f>(D14-F14)/F14</f>
        <v>6.7766214414922421E-2</v>
      </c>
      <c r="I14" s="158">
        <f>(E14-G14)/G14</f>
        <v>7.649138320090623E-3</v>
      </c>
    </row>
    <row r="15" spans="1:9" ht="21.6" customHeight="1">
      <c r="A15" s="64">
        <v>2</v>
      </c>
      <c r="B15" s="65" t="s">
        <v>82</v>
      </c>
      <c r="C15" s="66" t="s">
        <v>13</v>
      </c>
      <c r="D15" s="169">
        <v>0</v>
      </c>
      <c r="E15" s="169">
        <v>0</v>
      </c>
      <c r="F15" s="243">
        <v>0</v>
      </c>
      <c r="G15" s="243">
        <v>0</v>
      </c>
      <c r="H15" s="194" t="e">
        <f t="shared" ref="H15:I25" si="0">(D15-F15)/F15</f>
        <v>#DIV/0!</v>
      </c>
      <c r="I15" s="195" t="e">
        <f t="shared" si="0"/>
        <v>#DIV/0!</v>
      </c>
    </row>
    <row r="16" spans="1:9" ht="21.6" customHeight="1">
      <c r="A16" s="64">
        <v>3</v>
      </c>
      <c r="B16" s="65" t="s">
        <v>7</v>
      </c>
      <c r="C16" s="66" t="s">
        <v>13</v>
      </c>
      <c r="D16" s="169">
        <v>0</v>
      </c>
      <c r="E16" s="169">
        <v>0</v>
      </c>
      <c r="F16" s="243">
        <v>0</v>
      </c>
      <c r="G16" s="243">
        <v>0</v>
      </c>
      <c r="H16" s="157">
        <v>0</v>
      </c>
      <c r="I16" s="158">
        <v>0</v>
      </c>
    </row>
    <row r="17" spans="1:18" ht="24" customHeight="1">
      <c r="A17" s="64">
        <v>4</v>
      </c>
      <c r="B17" s="65" t="s">
        <v>8</v>
      </c>
      <c r="C17" s="66" t="s">
        <v>13</v>
      </c>
      <c r="D17" s="169">
        <f>SUM(D14:D16)</f>
        <v>617.85000000000014</v>
      </c>
      <c r="E17" s="169">
        <f>SUM(E14:E16)</f>
        <v>2798.3</v>
      </c>
      <c r="F17" s="243">
        <f>SUM(F14:F16)</f>
        <v>578.63789999999972</v>
      </c>
      <c r="G17" s="243">
        <f>SUM(G14:G16)</f>
        <v>2777.0578999999998</v>
      </c>
      <c r="H17" s="157">
        <f t="shared" si="0"/>
        <v>6.7766214414922421E-2</v>
      </c>
      <c r="I17" s="158">
        <f t="shared" si="0"/>
        <v>7.649138320090623E-3</v>
      </c>
    </row>
    <row r="18" spans="1:18" ht="21.6" customHeight="1">
      <c r="A18" s="64">
        <v>5</v>
      </c>
      <c r="B18" s="65" t="s">
        <v>2</v>
      </c>
      <c r="C18" s="66" t="s">
        <v>13</v>
      </c>
      <c r="D18" s="169">
        <f>+E18-1323.39</f>
        <v>226.41999999999985</v>
      </c>
      <c r="E18" s="169">
        <v>1549.81</v>
      </c>
      <c r="F18" s="243">
        <f>+G18-1287.13-50</f>
        <v>239.5628999999999</v>
      </c>
      <c r="G18" s="243">
        <f>157669.29/100</f>
        <v>1576.6929</v>
      </c>
      <c r="H18" s="157">
        <f t="shared" si="0"/>
        <v>-5.486200075220353E-2</v>
      </c>
      <c r="I18" s="158">
        <f t="shared" si="0"/>
        <v>-1.7050181427213925E-2</v>
      </c>
      <c r="O18" s="67"/>
      <c r="P18" s="68"/>
    </row>
    <row r="19" spans="1:18" ht="21.6" customHeight="1">
      <c r="A19" s="64">
        <v>6</v>
      </c>
      <c r="B19" s="65" t="s">
        <v>3</v>
      </c>
      <c r="C19" s="66" t="s">
        <v>13</v>
      </c>
      <c r="D19" s="313">
        <f>+E19-861.56</f>
        <v>287.45000000000005</v>
      </c>
      <c r="E19" s="313">
        <v>1149.01</v>
      </c>
      <c r="F19" s="313">
        <f>+G19-982.99+50</f>
        <v>311.23</v>
      </c>
      <c r="G19" s="313">
        <v>1244.22</v>
      </c>
      <c r="H19" s="348">
        <f t="shared" si="0"/>
        <v>-7.6406516081354528E-2</v>
      </c>
      <c r="I19" s="339">
        <f t="shared" si="0"/>
        <v>-7.6521836974168589E-2</v>
      </c>
      <c r="O19" s="67"/>
      <c r="P19" s="68"/>
    </row>
    <row r="20" spans="1:18" ht="21.6" customHeight="1">
      <c r="A20" s="64">
        <v>7</v>
      </c>
      <c r="B20" s="65" t="s">
        <v>1</v>
      </c>
      <c r="C20" s="66" t="s">
        <v>13</v>
      </c>
      <c r="D20" s="315"/>
      <c r="E20" s="315"/>
      <c r="F20" s="315"/>
      <c r="G20" s="315"/>
      <c r="H20" s="349"/>
      <c r="I20" s="340"/>
      <c r="O20" s="67"/>
      <c r="P20" s="68"/>
    </row>
    <row r="21" spans="1:18" ht="21.6" customHeight="1">
      <c r="A21" s="64">
        <v>8</v>
      </c>
      <c r="B21" s="65" t="s">
        <v>119</v>
      </c>
      <c r="C21" s="66" t="s">
        <v>13</v>
      </c>
      <c r="D21" s="169">
        <f>+E21-151.99</f>
        <v>69.389999999999986</v>
      </c>
      <c r="E21" s="169">
        <v>221.38</v>
      </c>
      <c r="F21" s="243">
        <f>+G21-169.43+15</f>
        <v>73.53</v>
      </c>
      <c r="G21" s="243">
        <v>227.96</v>
      </c>
      <c r="H21" s="157">
        <f t="shared" si="0"/>
        <v>-5.6303549571603627E-2</v>
      </c>
      <c r="I21" s="158">
        <f t="shared" si="0"/>
        <v>-2.8864713107562785E-2</v>
      </c>
      <c r="J21" s="58">
        <f>35.31+156.95</f>
        <v>192.26</v>
      </c>
      <c r="K21" s="55">
        <f>+J21*9/12</f>
        <v>144.19499999999999</v>
      </c>
    </row>
    <row r="22" spans="1:18" ht="24" customHeight="1">
      <c r="A22" s="64">
        <v>9</v>
      </c>
      <c r="B22" s="65" t="s">
        <v>10</v>
      </c>
      <c r="C22" s="66" t="s">
        <v>13</v>
      </c>
      <c r="D22" s="169">
        <f>SUM(D18:D21)</f>
        <v>583.25999999999988</v>
      </c>
      <c r="E22" s="169">
        <f>SUM(E18:E21)</f>
        <v>2920.2</v>
      </c>
      <c r="F22" s="243">
        <f>SUM(F18:F21)</f>
        <v>624.32289999999989</v>
      </c>
      <c r="G22" s="243">
        <f>SUM(G18:G21)</f>
        <v>3048.8729000000003</v>
      </c>
      <c r="H22" s="157">
        <f t="shared" si="0"/>
        <v>-6.5771894639776979E-2</v>
      </c>
      <c r="I22" s="158">
        <f t="shared" si="0"/>
        <v>-4.2203431963333225E-2</v>
      </c>
      <c r="O22" s="67"/>
      <c r="P22" s="68"/>
    </row>
    <row r="23" spans="1:18" ht="21.6" customHeight="1">
      <c r="A23" s="64">
        <v>10</v>
      </c>
      <c r="B23" s="65" t="s">
        <v>108</v>
      </c>
      <c r="C23" s="66" t="s">
        <v>13</v>
      </c>
      <c r="D23" s="169">
        <f>+E23-305.12</f>
        <v>102.06</v>
      </c>
      <c r="E23" s="169">
        <v>407.18</v>
      </c>
      <c r="F23" s="243">
        <f>+G23-273.48</f>
        <v>101.51749999999998</v>
      </c>
      <c r="G23" s="243">
        <f>37499.75/100</f>
        <v>374.9975</v>
      </c>
      <c r="H23" s="157">
        <f t="shared" si="0"/>
        <v>5.3439062230651686E-3</v>
      </c>
      <c r="I23" s="158">
        <f t="shared" si="0"/>
        <v>8.5820572137147597E-2</v>
      </c>
      <c r="O23" s="67"/>
      <c r="P23" s="68"/>
    </row>
    <row r="24" spans="1:18" ht="24" customHeight="1">
      <c r="A24" s="64">
        <v>11</v>
      </c>
      <c r="B24" s="65" t="s">
        <v>11</v>
      </c>
      <c r="C24" s="66" t="s">
        <v>13</v>
      </c>
      <c r="D24" s="169">
        <f>SUM(D22:D23)</f>
        <v>685.31999999999994</v>
      </c>
      <c r="E24" s="213">
        <f>SUM(E22:E23)</f>
        <v>3327.3799999999997</v>
      </c>
      <c r="F24" s="243">
        <f>SUM(F22:F23)</f>
        <v>725.84039999999982</v>
      </c>
      <c r="G24" s="243">
        <f>SUM(G22:G23)</f>
        <v>3423.8704000000002</v>
      </c>
      <c r="H24" s="157">
        <f t="shared" si="0"/>
        <v>-5.582549552215596E-2</v>
      </c>
      <c r="I24" s="158">
        <f t="shared" si="0"/>
        <v>-2.8181674166171882E-2</v>
      </c>
      <c r="O24" s="67"/>
      <c r="P24" s="68"/>
    </row>
    <row r="25" spans="1:18" ht="31.5" customHeight="1" thickBot="1">
      <c r="A25" s="69">
        <v>12</v>
      </c>
      <c r="B25" s="70" t="s">
        <v>12</v>
      </c>
      <c r="C25" s="71" t="s">
        <v>13</v>
      </c>
      <c r="D25" s="57">
        <f>D17+D24</f>
        <v>1303.17</v>
      </c>
      <c r="E25" s="57">
        <f>E17+E24</f>
        <v>6125.68</v>
      </c>
      <c r="F25" s="57">
        <f>F17+F24</f>
        <v>1304.4782999999995</v>
      </c>
      <c r="G25" s="57">
        <f>G17+G24</f>
        <v>6200.9282999999996</v>
      </c>
      <c r="H25" s="159">
        <f t="shared" si="0"/>
        <v>-1.0029296769440037E-3</v>
      </c>
      <c r="I25" s="160">
        <f t="shared" si="0"/>
        <v>-1.2135005657136738E-2</v>
      </c>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8">
        <f>D14/'SHEET-4'!D29*1000</f>
        <v>724.02835539722309</v>
      </c>
      <c r="E29" s="56">
        <f>E14/'SHEET-4'!E29*1000</f>
        <v>720.46106607126001</v>
      </c>
      <c r="F29" s="56">
        <f>F14/'SHEET-4'!F29*1000</f>
        <v>724.79027512344658</v>
      </c>
      <c r="G29" s="56">
        <f>G14/'SHEET-4'!G29*1000</f>
        <v>737.10948235475632</v>
      </c>
      <c r="H29" s="183">
        <f>(D29-F29)/F29</f>
        <v>-1.0512278549732355E-3</v>
      </c>
      <c r="I29" s="184">
        <f>(E29-G29)/G29</f>
        <v>-2.2586083454402994E-2</v>
      </c>
      <c r="N29" s="79">
        <f>(D14/'SHEET-4'!D29)*1000</f>
        <v>724.02835539722309</v>
      </c>
      <c r="O29" s="79">
        <f>(E14/'SHEET-4'!E29)*1000</f>
        <v>720.46106607126001</v>
      </c>
      <c r="P29" s="79">
        <f>(F14/'SHEET-4'!F29)*1000</f>
        <v>724.79027512344658</v>
      </c>
      <c r="Q29" s="79">
        <f>(G14/'SHEET-4'!G29)*1000</f>
        <v>737.10948235475632</v>
      </c>
      <c r="R29" s="80"/>
    </row>
    <row r="30" spans="1:18" ht="21.6" customHeight="1">
      <c r="A30" s="64">
        <v>2</v>
      </c>
      <c r="B30" s="65" t="s">
        <v>82</v>
      </c>
      <c r="C30" s="81" t="s">
        <v>21</v>
      </c>
      <c r="D30" s="150">
        <v>0</v>
      </c>
      <c r="E30" s="169">
        <v>0</v>
      </c>
      <c r="F30" s="201">
        <v>0</v>
      </c>
      <c r="G30" s="201">
        <v>0</v>
      </c>
      <c r="H30" s="194" t="e">
        <f t="shared" ref="H30:I40" si="1">(D30-F30)/F30</f>
        <v>#DIV/0!</v>
      </c>
      <c r="I30" s="195"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201">
        <v>0</v>
      </c>
      <c r="G31" s="201">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724.02835539722309</v>
      </c>
      <c r="E32" s="150">
        <f>E17/'SHEET-4'!E32*1000</f>
        <v>720.46106607126001</v>
      </c>
      <c r="F32" s="200">
        <f>F17/'SHEET-4'!F32*1000</f>
        <v>724.79027512344658</v>
      </c>
      <c r="G32" s="200">
        <f>G17/'SHEET-4'!G32*1000</f>
        <v>737.10948235475632</v>
      </c>
      <c r="H32" s="157">
        <f t="shared" si="1"/>
        <v>-1.0512278549732355E-3</v>
      </c>
      <c r="I32" s="158">
        <f t="shared" si="1"/>
        <v>-2.2586083454402994E-2</v>
      </c>
      <c r="N32" s="79">
        <f>(D17/'SHEET-4'!D32)*1000</f>
        <v>724.02835539722309</v>
      </c>
      <c r="O32" s="79">
        <f>(E17/'SHEET-4'!E32)*1000</f>
        <v>720.46106607126001</v>
      </c>
      <c r="P32" s="79">
        <f>(F17/'SHEET-4'!F32)*1000</f>
        <v>724.79027512344658</v>
      </c>
      <c r="R32" s="80"/>
    </row>
    <row r="33" spans="1:18" ht="21.6" customHeight="1">
      <c r="A33" s="64">
        <v>5</v>
      </c>
      <c r="B33" s="65" t="s">
        <v>2</v>
      </c>
      <c r="C33" s="81" t="s">
        <v>21</v>
      </c>
      <c r="D33" s="150">
        <f>D18/'SHEET-4'!D33*1000</f>
        <v>530.15174850389656</v>
      </c>
      <c r="E33" s="169">
        <f>E18/'SHEET-4'!E33*1000</f>
        <v>549.67639748811575</v>
      </c>
      <c r="F33" s="201">
        <f>F18/'SHEET-4'!F33*1000</f>
        <v>506.48755062871788</v>
      </c>
      <c r="G33" s="205">
        <f>G18/'SHEET-4'!G33*1000</f>
        <v>579.64994397939381</v>
      </c>
      <c r="H33" s="157">
        <f t="shared" si="1"/>
        <v>4.6722170852577932E-2</v>
      </c>
      <c r="I33" s="158">
        <f t="shared" si="1"/>
        <v>-5.1709737579727251E-2</v>
      </c>
      <c r="N33" s="79">
        <f>(D18/'SHEET-4'!D33)*1000</f>
        <v>530.15174850389656</v>
      </c>
      <c r="O33" s="79">
        <f>(E18/'SHEET-4'!E33)*1000</f>
        <v>549.67639748811575</v>
      </c>
      <c r="P33" s="79">
        <f>(F18/'SHEET-4'!F33)*1000</f>
        <v>506.48755062871788</v>
      </c>
      <c r="R33" s="80"/>
    </row>
    <row r="34" spans="1:18" ht="21.6" customHeight="1">
      <c r="A34" s="64">
        <v>6</v>
      </c>
      <c r="B34" s="65" t="s">
        <v>3</v>
      </c>
      <c r="C34" s="81" t="s">
        <v>21</v>
      </c>
      <c r="D34" s="356">
        <f>D19/'SHEET-4'!D34*1000</f>
        <v>731.86629086752089</v>
      </c>
      <c r="E34" s="357">
        <f>E19/'SHEET-4'!E34*1000</f>
        <v>734.89465642214952</v>
      </c>
      <c r="F34" s="313">
        <f>F19/'SHEET-4'!F34:F35*1000</f>
        <v>771.98787560088715</v>
      </c>
      <c r="G34" s="358">
        <f>G19/'SHEET-4'!G34*1000</f>
        <v>741.6388154235982</v>
      </c>
      <c r="H34" s="354">
        <f t="shared" si="1"/>
        <v>-5.1971780906710598E-2</v>
      </c>
      <c r="I34" s="355">
        <f t="shared" si="1"/>
        <v>-9.0935895764795577E-3</v>
      </c>
      <c r="N34" s="79">
        <f>(D19/'SHEET-4'!D34)*1000</f>
        <v>731.86629086752089</v>
      </c>
      <c r="O34" s="79">
        <f>(E19/'SHEET-4'!E34)*1000</f>
        <v>734.89465642214952</v>
      </c>
      <c r="P34" s="79">
        <f>(F19/'SHEET-4'!F34)*1000</f>
        <v>771.98787560088715</v>
      </c>
      <c r="R34" s="80"/>
    </row>
    <row r="35" spans="1:18" ht="21.6" customHeight="1">
      <c r="A35" s="64">
        <v>7</v>
      </c>
      <c r="B35" s="65" t="s">
        <v>1</v>
      </c>
      <c r="C35" s="81" t="s">
        <v>21</v>
      </c>
      <c r="D35" s="356"/>
      <c r="E35" s="357"/>
      <c r="F35" s="315"/>
      <c r="G35" s="359"/>
      <c r="H35" s="354"/>
      <c r="I35" s="355"/>
      <c r="N35" s="79" t="e">
        <f>(D20/'SHEET-4'!D35)*1000</f>
        <v>#DIV/0!</v>
      </c>
      <c r="O35" s="79" t="e">
        <f>(E20/'SHEET-4'!E35)*1000</f>
        <v>#DIV/0!</v>
      </c>
      <c r="P35" s="79" t="e">
        <f>(F20/'SHEET-4'!F35)*1000</f>
        <v>#DIV/0!</v>
      </c>
      <c r="R35" s="80"/>
    </row>
    <row r="36" spans="1:18" ht="21.6" customHeight="1">
      <c r="A36" s="64">
        <v>8</v>
      </c>
      <c r="B36" s="65" t="s">
        <v>119</v>
      </c>
      <c r="C36" s="81" t="s">
        <v>21</v>
      </c>
      <c r="D36" s="150">
        <f>D21/'SHEET-4'!D36*1000</f>
        <v>636.22610369962854</v>
      </c>
      <c r="E36" s="169">
        <f>E21/'SHEET-4'!E36*1000</f>
        <v>610.61080387803224</v>
      </c>
      <c r="F36" s="201">
        <f>F21/'SHEET-4'!F36*1000</f>
        <v>659.60386092073634</v>
      </c>
      <c r="G36" s="205">
        <f>G21/'SHEET-4'!G36*1000</f>
        <v>607.00467848403275</v>
      </c>
      <c r="H36" s="157">
        <f t="shared" si="1"/>
        <v>-3.5442117013194788E-2</v>
      </c>
      <c r="I36" s="158">
        <f t="shared" si="1"/>
        <v>5.9408527179817287E-3</v>
      </c>
      <c r="N36" s="79">
        <f>(D21/'SHEET-4'!D36)*1000</f>
        <v>636.22610369962854</v>
      </c>
      <c r="O36" s="79">
        <f>(E21/'SHEET-4'!E36)*1000</f>
        <v>610.61080387803224</v>
      </c>
      <c r="P36" s="79">
        <f>(F21/'SHEET-4'!F36)*1000</f>
        <v>659.60386092073634</v>
      </c>
      <c r="R36" s="80"/>
    </row>
    <row r="37" spans="1:18" ht="24" customHeight="1">
      <c r="A37" s="64">
        <v>9</v>
      </c>
      <c r="B37" s="65" t="s">
        <v>10</v>
      </c>
      <c r="C37" s="81" t="s">
        <v>21</v>
      </c>
      <c r="D37" s="150">
        <f>D22/'SHEET-4'!D37*1000</f>
        <v>627.89500589164265</v>
      </c>
      <c r="E37" s="169">
        <f>E22/'SHEET-4'!E37*1000</f>
        <v>615.35501488044099</v>
      </c>
      <c r="F37" s="201">
        <f>F22/'SHEET-4'!F37*1000</f>
        <v>632.14972052984967</v>
      </c>
      <c r="G37" s="205">
        <f>G22/'SHEET-4'!G37*1000</f>
        <v>638.73619173812108</v>
      </c>
      <c r="H37" s="157">
        <f t="shared" si="1"/>
        <v>-6.7305489507150937E-3</v>
      </c>
      <c r="I37" s="158">
        <f t="shared" si="1"/>
        <v>-3.6605373486126594E-2</v>
      </c>
      <c r="N37" s="79">
        <f>(D22/'SHEET-4'!D37)*1000</f>
        <v>627.89500589164265</v>
      </c>
      <c r="O37" s="79">
        <f>(E22/'SHEET-4'!E37)*1000</f>
        <v>615.35501488044099</v>
      </c>
      <c r="P37" s="79">
        <f>(F22/'SHEET-4'!F37)*1000</f>
        <v>632.14972052984967</v>
      </c>
      <c r="R37" s="80"/>
    </row>
    <row r="38" spans="1:18" ht="21.6" customHeight="1">
      <c r="A38" s="64">
        <v>10</v>
      </c>
      <c r="B38" s="65" t="s">
        <v>5</v>
      </c>
      <c r="C38" s="81" t="s">
        <v>21</v>
      </c>
      <c r="D38" s="150">
        <f>D23/'SHEET-4'!D38*1000</f>
        <v>256.22743636993562</v>
      </c>
      <c r="E38" s="169">
        <f>E23/'SHEET-4'!E38*1000</f>
        <v>298.66401435300708</v>
      </c>
      <c r="F38" s="217">
        <f>F23/'SHEET-4'!F38*1000</f>
        <v>275.81705206473913</v>
      </c>
      <c r="G38" s="205">
        <f>G23/'SHEET-4'!G38*1000</f>
        <v>309.06905308028507</v>
      </c>
      <c r="H38" s="157">
        <f t="shared" si="1"/>
        <v>-7.1023947026326292E-2</v>
      </c>
      <c r="I38" s="158">
        <f t="shared" si="1"/>
        <v>-3.366574111376703E-2</v>
      </c>
      <c r="N38" s="79">
        <f>(D23/'SHEET-4'!D38)*1000</f>
        <v>256.22743636993562</v>
      </c>
      <c r="O38" s="79">
        <f>(E23/'SHEET-4'!E38)*1000</f>
        <v>298.66401435300708</v>
      </c>
      <c r="P38" s="79">
        <f>(F23/'SHEET-4'!F38)*1000</f>
        <v>275.81705206473913</v>
      </c>
      <c r="R38" s="80"/>
    </row>
    <row r="39" spans="1:18" ht="24" customHeight="1">
      <c r="A39" s="64">
        <v>11</v>
      </c>
      <c r="B39" s="65" t="s">
        <v>11</v>
      </c>
      <c r="C39" s="81" t="s">
        <v>21</v>
      </c>
      <c r="D39" s="150">
        <f>D24/'SHEET-4'!D39*1000</f>
        <v>516.35311650076312</v>
      </c>
      <c r="E39" s="169">
        <f>E24/'SHEET-4'!E39*1000</f>
        <v>544.67821666162854</v>
      </c>
      <c r="F39" s="201">
        <f>F24/'SHEET-4'!F39*1000</f>
        <v>535.40698991123634</v>
      </c>
      <c r="G39" s="205">
        <f>G24/'SHEET-4'!G39*1000</f>
        <v>571.92209975878052</v>
      </c>
      <c r="H39" s="157">
        <f t="shared" si="1"/>
        <v>-3.5587644109076923E-2</v>
      </c>
      <c r="I39" s="158">
        <f t="shared" si="1"/>
        <v>-4.763565371690065E-2</v>
      </c>
      <c r="N39" s="79">
        <f>(D24/'SHEET-4'!D39)*1000</f>
        <v>516.35311650076312</v>
      </c>
      <c r="O39" s="79">
        <f>(E24/'SHEET-4'!E39)*1000</f>
        <v>544.67821666162854</v>
      </c>
      <c r="P39" s="79">
        <f>(F24/'SHEET-4'!F39)*1000</f>
        <v>535.40698991123634</v>
      </c>
      <c r="R39" s="80"/>
    </row>
    <row r="40" spans="1:18" ht="31.5" customHeight="1" thickBot="1">
      <c r="A40" s="69">
        <v>12</v>
      </c>
      <c r="B40" s="70" t="s">
        <v>12</v>
      </c>
      <c r="C40" s="82" t="s">
        <v>21</v>
      </c>
      <c r="D40" s="189">
        <f>D25/'SHEET-4'!D40*1000</f>
        <v>597.62490320292716</v>
      </c>
      <c r="E40" s="57">
        <f>E25/'SHEET-4'!E40*1000</f>
        <v>613.00128024695152</v>
      </c>
      <c r="F40" s="57">
        <f>F25/'SHEET-4'!F40*1000</f>
        <v>605.59841047080386</v>
      </c>
      <c r="G40" s="205">
        <f>G25/'SHEET-4'!G40*1000</f>
        <v>635.72532146014862</v>
      </c>
      <c r="H40" s="159">
        <f t="shared" si="1"/>
        <v>-1.3166327932858907E-2</v>
      </c>
      <c r="I40" s="160">
        <f t="shared" si="1"/>
        <v>-3.574506228728469E-2</v>
      </c>
      <c r="N40" s="79">
        <f>(D25/'SHEET-4'!D40)*1000</f>
        <v>597.62490320292716</v>
      </c>
      <c r="O40" s="79">
        <f>(E25/'SHEET-4'!E40)*1000</f>
        <v>613.00128024695152</v>
      </c>
      <c r="P40" s="79">
        <f>(F25/'SHEET-4'!F40)*1000</f>
        <v>605.59841047080386</v>
      </c>
      <c r="R40" s="80"/>
    </row>
    <row r="41" spans="1:18" ht="23.25">
      <c r="P41" s="80"/>
    </row>
    <row r="42" spans="1:18" ht="23.25">
      <c r="P42" s="80"/>
    </row>
    <row r="43" spans="1:18" ht="12.75" customHeight="1">
      <c r="A43" s="320"/>
      <c r="B43" s="320"/>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28" zoomScale="60" zoomScaleNormal="60" workbookViewId="0">
      <selection activeCell="L20" sqref="L20"/>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62" t="s">
        <v>0</v>
      </c>
      <c r="B5" s="362"/>
      <c r="C5" s="362"/>
      <c r="D5" s="362"/>
      <c r="E5" s="362"/>
      <c r="F5" s="362"/>
      <c r="G5" s="362"/>
      <c r="H5" s="362"/>
      <c r="I5" s="362"/>
      <c r="J5" s="5"/>
    </row>
    <row r="6" spans="1:10" ht="8.25" customHeight="1">
      <c r="A6" s="5"/>
      <c r="B6" s="5"/>
      <c r="C6" s="5"/>
      <c r="D6" s="5"/>
      <c r="E6" s="5"/>
      <c r="F6" s="5"/>
      <c r="G6" s="5"/>
      <c r="H6" s="5"/>
      <c r="I6" s="5"/>
      <c r="J6" s="5"/>
    </row>
    <row r="7" spans="1:10" ht="30">
      <c r="A7" s="364" t="s">
        <v>20</v>
      </c>
      <c r="B7" s="364"/>
      <c r="C7" s="364"/>
      <c r="D7" s="364"/>
      <c r="E7" s="364"/>
      <c r="F7" s="364"/>
      <c r="G7" s="364"/>
      <c r="H7" s="364"/>
      <c r="I7" s="364"/>
      <c r="J7" s="5"/>
    </row>
    <row r="8" spans="1:10" ht="8.25" customHeight="1">
      <c r="A8" s="5"/>
      <c r="B8" s="5"/>
      <c r="C8" s="5"/>
      <c r="D8" s="5"/>
      <c r="E8" s="5"/>
      <c r="F8" s="5"/>
      <c r="G8" s="5"/>
      <c r="H8" s="5"/>
      <c r="I8" s="5"/>
      <c r="J8" s="5"/>
    </row>
    <row r="9" spans="1:10" ht="27.75">
      <c r="A9" s="363" t="s">
        <v>40</v>
      </c>
      <c r="B9" s="363"/>
      <c r="C9" s="363"/>
      <c r="D9" s="363"/>
      <c r="E9" s="363"/>
      <c r="F9" s="363"/>
      <c r="G9" s="363"/>
      <c r="H9" s="363"/>
      <c r="I9" s="363"/>
      <c r="J9" s="5"/>
    </row>
    <row r="10" spans="1:10" ht="13.5" thickBot="1">
      <c r="A10" s="5"/>
      <c r="B10" s="5"/>
      <c r="C10" s="5"/>
      <c r="D10" s="5"/>
      <c r="E10" s="5"/>
      <c r="F10" s="5"/>
      <c r="G10" s="5"/>
      <c r="H10" s="5"/>
      <c r="I10" s="5"/>
      <c r="J10" s="5"/>
    </row>
    <row r="11" spans="1:10" ht="18">
      <c r="A11" s="12"/>
      <c r="B11" s="50"/>
      <c r="C11" s="50"/>
      <c r="D11" s="365" t="s">
        <v>16</v>
      </c>
      <c r="E11" s="365"/>
      <c r="F11" s="365" t="s">
        <v>66</v>
      </c>
      <c r="G11" s="365"/>
      <c r="H11" s="365" t="s">
        <v>17</v>
      </c>
      <c r="I11" s="366"/>
      <c r="J11" s="5"/>
    </row>
    <row r="12" spans="1:10" ht="18">
      <c r="A12" s="13"/>
      <c r="B12" s="51"/>
      <c r="C12" s="51"/>
      <c r="D12" s="51" t="s">
        <v>14</v>
      </c>
      <c r="E12" s="51" t="s">
        <v>15</v>
      </c>
      <c r="F12" s="51" t="s">
        <v>14</v>
      </c>
      <c r="G12" s="51" t="s">
        <v>15</v>
      </c>
      <c r="H12" s="367" t="s">
        <v>14</v>
      </c>
      <c r="I12" s="369" t="s">
        <v>15</v>
      </c>
      <c r="J12" s="5"/>
    </row>
    <row r="13" spans="1:10" ht="27" customHeight="1" thickBot="1">
      <c r="A13" s="15" t="s">
        <v>38</v>
      </c>
      <c r="B13" s="16" t="s">
        <v>39</v>
      </c>
      <c r="C13" s="1"/>
      <c r="D13" s="330" t="str">
        <f>+'SHEET-5'!D13:E13</f>
        <v>Jan-2021 to Mar-2021</v>
      </c>
      <c r="E13" s="330"/>
      <c r="F13" s="330" t="str">
        <f>+'SHEET-5'!F13:G13</f>
        <v>Jan-2020 to Mar-2020</v>
      </c>
      <c r="G13" s="330"/>
      <c r="H13" s="368"/>
      <c r="I13" s="370"/>
      <c r="J13" s="5"/>
    </row>
    <row r="14" spans="1:10" ht="23.25">
      <c r="A14" s="126">
        <v>1</v>
      </c>
      <c r="B14" s="127" t="s">
        <v>4</v>
      </c>
      <c r="C14" s="128" t="s">
        <v>35</v>
      </c>
      <c r="D14" s="247">
        <v>92.457654642313244</v>
      </c>
      <c r="E14" s="247">
        <v>90.773833468561577</v>
      </c>
      <c r="F14" s="235">
        <v>89.095738095582803</v>
      </c>
      <c r="G14" s="235">
        <v>87.021153776775435</v>
      </c>
      <c r="H14" s="146">
        <f>(D14-F14)/F14</f>
        <v>3.7733752686618334E-2</v>
      </c>
      <c r="I14" s="147">
        <f>(E14-G14)/G14</f>
        <v>4.3123763923107995E-2</v>
      </c>
      <c r="J14" s="5"/>
    </row>
    <row r="15" spans="1:10" ht="23.25">
      <c r="A15" s="13">
        <v>2</v>
      </c>
      <c r="B15" s="14" t="s">
        <v>82</v>
      </c>
      <c r="C15" s="26" t="s">
        <v>35</v>
      </c>
      <c r="D15" s="245">
        <v>0</v>
      </c>
      <c r="E15" s="245">
        <v>0</v>
      </c>
      <c r="F15" s="209">
        <v>0</v>
      </c>
      <c r="G15" s="209">
        <v>0</v>
      </c>
      <c r="H15" s="196" t="e">
        <f t="shared" ref="H15:H18" si="0">(D15-F15)/F15</f>
        <v>#DIV/0!</v>
      </c>
      <c r="I15" s="197" t="e">
        <f t="shared" ref="I15:I25" si="1">(E15-G15)/G15</f>
        <v>#DIV/0!</v>
      </c>
      <c r="J15" s="5"/>
    </row>
    <row r="16" spans="1:10" ht="23.25">
      <c r="A16" s="13">
        <v>3</v>
      </c>
      <c r="B16" s="14" t="s">
        <v>7</v>
      </c>
      <c r="C16" s="26" t="s">
        <v>35</v>
      </c>
      <c r="D16" s="245">
        <v>0</v>
      </c>
      <c r="E16" s="245">
        <v>0</v>
      </c>
      <c r="F16" s="209">
        <v>0</v>
      </c>
      <c r="G16" s="209">
        <v>0</v>
      </c>
      <c r="H16" s="146">
        <v>0</v>
      </c>
      <c r="I16" s="143">
        <v>0</v>
      </c>
      <c r="J16" s="5"/>
    </row>
    <row r="17" spans="1:16" ht="23.25">
      <c r="A17" s="13">
        <v>4</v>
      </c>
      <c r="B17" s="14" t="s">
        <v>8</v>
      </c>
      <c r="C17" s="26" t="s">
        <v>35</v>
      </c>
      <c r="D17" s="245">
        <f>SUM(D14:D16)</f>
        <v>92.457654642313244</v>
      </c>
      <c r="E17" s="245">
        <f>SUM(E14:E16)</f>
        <v>90.773833468561577</v>
      </c>
      <c r="F17" s="209">
        <v>89.095738095582803</v>
      </c>
      <c r="G17" s="209">
        <v>87.021153776775435</v>
      </c>
      <c r="H17" s="146">
        <f t="shared" si="0"/>
        <v>3.7733752686618334E-2</v>
      </c>
      <c r="I17" s="143">
        <f t="shared" si="1"/>
        <v>4.3123763923107995E-2</v>
      </c>
      <c r="J17" s="5"/>
    </row>
    <row r="18" spans="1:16" ht="23.25">
      <c r="A18" s="13">
        <v>5</v>
      </c>
      <c r="B18" s="14" t="s">
        <v>2</v>
      </c>
      <c r="C18" s="26" t="s">
        <v>35</v>
      </c>
      <c r="D18" s="249">
        <v>30.918615517247666</v>
      </c>
      <c r="E18" s="249">
        <v>18.745039687881675</v>
      </c>
      <c r="F18" s="236">
        <v>30.936493950296907</v>
      </c>
      <c r="G18" s="236">
        <v>19.530123553699426</v>
      </c>
      <c r="H18" s="146">
        <f t="shared" si="0"/>
        <v>-5.7790753787304798E-4</v>
      </c>
      <c r="I18" s="143">
        <f t="shared" si="1"/>
        <v>-4.0198612346670916E-2</v>
      </c>
      <c r="J18" s="5"/>
    </row>
    <row r="19" spans="1:16" ht="18" customHeight="1">
      <c r="A19" s="13">
        <v>6</v>
      </c>
      <c r="B19" s="14" t="s">
        <v>3</v>
      </c>
      <c r="C19" s="26" t="s">
        <v>35</v>
      </c>
      <c r="D19" s="360">
        <v>92.409060392632455</v>
      </c>
      <c r="E19" s="360">
        <v>85.333508891530954</v>
      </c>
      <c r="F19" s="374">
        <v>90.80636452425783</v>
      </c>
      <c r="G19" s="374">
        <v>80.956175755096268</v>
      </c>
      <c r="H19" s="373">
        <f t="shared" ref="H19" si="2">(D19-F19)/F19</f>
        <v>1.764959842596147E-2</v>
      </c>
      <c r="I19" s="372">
        <f t="shared" si="1"/>
        <v>5.4070404087227755E-2</v>
      </c>
      <c r="J19" s="5"/>
    </row>
    <row r="20" spans="1:16" ht="18" customHeight="1">
      <c r="A20" s="13">
        <v>7</v>
      </c>
      <c r="B20" s="14" t="s">
        <v>1</v>
      </c>
      <c r="C20" s="26" t="s">
        <v>35</v>
      </c>
      <c r="D20" s="361"/>
      <c r="E20" s="361"/>
      <c r="F20" s="375"/>
      <c r="G20" s="375"/>
      <c r="H20" s="373"/>
      <c r="I20" s="372"/>
      <c r="J20" s="5"/>
      <c r="P20" s="2"/>
    </row>
    <row r="21" spans="1:16" ht="23.25">
      <c r="A21" s="13">
        <v>8</v>
      </c>
      <c r="B21" s="14" t="s">
        <v>9</v>
      </c>
      <c r="C21" s="26" t="s">
        <v>35</v>
      </c>
      <c r="D21" s="249">
        <v>3.7233911809669293</v>
      </c>
      <c r="E21" s="249">
        <v>3.6039933479275059</v>
      </c>
      <c r="F21" s="236">
        <v>3.5037866118022607</v>
      </c>
      <c r="G21" s="236">
        <v>3.3803836229170292</v>
      </c>
      <c r="H21" s="146">
        <f t="shared" ref="H21:H25" si="3">(D21-F21)/F21</f>
        <v>6.267635375537596E-2</v>
      </c>
      <c r="I21" s="143">
        <f t="shared" si="1"/>
        <v>6.6149215578531734E-2</v>
      </c>
      <c r="J21" s="5"/>
    </row>
    <row r="22" spans="1:16" ht="23.25">
      <c r="A22" s="13">
        <v>9</v>
      </c>
      <c r="B22" s="14" t="s">
        <v>10</v>
      </c>
      <c r="C22" s="26" t="s">
        <v>35</v>
      </c>
      <c r="D22" s="245">
        <v>55.481531327742239</v>
      </c>
      <c r="E22" s="245">
        <v>39.467598692608135</v>
      </c>
      <c r="F22" s="209">
        <v>53.675970254978843</v>
      </c>
      <c r="G22" s="209">
        <v>39.859500597414069</v>
      </c>
      <c r="H22" s="146">
        <f t="shared" si="3"/>
        <v>3.3638163673360276E-2</v>
      </c>
      <c r="I22" s="143">
        <f t="shared" si="1"/>
        <v>-9.8320826636588386E-3</v>
      </c>
      <c r="J22" s="5"/>
    </row>
    <row r="23" spans="1:16" ht="23.25">
      <c r="A23" s="13">
        <v>10</v>
      </c>
      <c r="B23" s="14" t="s">
        <v>5</v>
      </c>
      <c r="C23" s="26" t="s">
        <v>35</v>
      </c>
      <c r="D23" s="249">
        <v>30.799642086550648</v>
      </c>
      <c r="E23" s="249">
        <v>33.20193635634643</v>
      </c>
      <c r="F23" s="236">
        <v>30.980573860455113</v>
      </c>
      <c r="G23" s="236">
        <v>35.161929901995023</v>
      </c>
      <c r="H23" s="146">
        <f t="shared" si="3"/>
        <v>-5.8401685752959513E-3</v>
      </c>
      <c r="I23" s="143">
        <f t="shared" si="1"/>
        <v>-5.5741921763440727E-2</v>
      </c>
      <c r="J23" s="5"/>
    </row>
    <row r="24" spans="1:16" ht="23.25">
      <c r="A24" s="13">
        <v>11</v>
      </c>
      <c r="B24" s="14" t="s">
        <v>11</v>
      </c>
      <c r="C24" s="26" t="s">
        <v>35</v>
      </c>
      <c r="D24" s="245">
        <v>50.262996671250981</v>
      </c>
      <c r="E24" s="245">
        <v>38.48496100662809</v>
      </c>
      <c r="F24" s="209">
        <v>49.090392354576018</v>
      </c>
      <c r="G24" s="209">
        <v>39.19434112619669</v>
      </c>
      <c r="H24" s="146">
        <f t="shared" si="3"/>
        <v>2.3886635661930243E-2</v>
      </c>
      <c r="I24" s="143">
        <f t="shared" si="1"/>
        <v>-1.8099044382059143E-2</v>
      </c>
      <c r="J24" s="5"/>
    </row>
    <row r="25" spans="1:16" ht="24" thickBot="1">
      <c r="A25" s="15">
        <v>12</v>
      </c>
      <c r="B25" s="16" t="s">
        <v>12</v>
      </c>
      <c r="C25" s="27" t="s">
        <v>35</v>
      </c>
      <c r="D25" s="189">
        <v>73.868091260662183</v>
      </c>
      <c r="E25" s="189">
        <v>63.809800194020873</v>
      </c>
      <c r="F25" s="237">
        <v>71.303782646466175</v>
      </c>
      <c r="G25" s="237">
        <v>63.503319107585973</v>
      </c>
      <c r="H25" s="146">
        <f t="shared" si="3"/>
        <v>3.5963149765983637E-2</v>
      </c>
      <c r="I25" s="142">
        <f t="shared" si="1"/>
        <v>4.8262215383681941E-3</v>
      </c>
      <c r="J25" s="5"/>
    </row>
    <row r="26" spans="1:16" ht="8.25" customHeight="1">
      <c r="A26" s="6"/>
      <c r="B26" s="7"/>
      <c r="C26" s="8"/>
      <c r="D26" s="250"/>
      <c r="E26" s="250"/>
      <c r="F26" s="135"/>
      <c r="G26" s="135"/>
      <c r="H26" s="10"/>
      <c r="I26" s="11"/>
      <c r="J26" s="5"/>
    </row>
    <row r="27" spans="1:16" ht="27" customHeight="1">
      <c r="A27" s="3" t="s">
        <v>6</v>
      </c>
      <c r="B27" s="9" t="s">
        <v>103</v>
      </c>
      <c r="C27" s="8"/>
      <c r="D27" s="250"/>
      <c r="E27" s="250"/>
      <c r="F27" s="135"/>
      <c r="G27" s="135"/>
      <c r="H27" s="10"/>
      <c r="I27" s="11"/>
      <c r="J27" s="5"/>
    </row>
    <row r="28" spans="1:16" ht="9" customHeight="1" thickBot="1">
      <c r="A28" s="6"/>
      <c r="B28" s="7"/>
      <c r="C28" s="8"/>
      <c r="D28" s="250"/>
      <c r="E28" s="250"/>
      <c r="F28" s="135"/>
      <c r="G28" s="135"/>
      <c r="H28" s="10"/>
      <c r="I28" s="145"/>
      <c r="J28" s="5"/>
    </row>
    <row r="29" spans="1:16" ht="23.25">
      <c r="A29" s="12">
        <v>1</v>
      </c>
      <c r="B29" s="17" t="s">
        <v>4</v>
      </c>
      <c r="C29" s="4" t="s">
        <v>35</v>
      </c>
      <c r="D29" s="246">
        <v>417.623141654253</v>
      </c>
      <c r="E29" s="246">
        <v>418.35753045987724</v>
      </c>
      <c r="F29" s="225">
        <v>417.03713037944317</v>
      </c>
      <c r="G29" s="225">
        <v>417.51125286307717</v>
      </c>
      <c r="H29" s="139">
        <f>(D29-F29)/F29</f>
        <v>1.4051776979106139E-3</v>
      </c>
      <c r="I29" s="140">
        <f>(E29-G29)/G29</f>
        <v>2.0269575753868387E-3</v>
      </c>
      <c r="J29" s="5"/>
    </row>
    <row r="30" spans="1:16" ht="23.25">
      <c r="A30" s="13">
        <v>2</v>
      </c>
      <c r="B30" s="14" t="s">
        <v>82</v>
      </c>
      <c r="C30" s="26" t="s">
        <v>35</v>
      </c>
      <c r="D30" s="246">
        <v>0</v>
      </c>
      <c r="E30" s="246">
        <v>0</v>
      </c>
      <c r="F30" s="225">
        <v>0</v>
      </c>
      <c r="G30" s="225">
        <v>0</v>
      </c>
      <c r="H30" s="193" t="e">
        <f t="shared" ref="H30:H40" si="4">(D30-F30)/F30</f>
        <v>#DIV/0!</v>
      </c>
      <c r="I30" s="197" t="e">
        <f t="shared" ref="I30:I40" si="5">(E30-G30)/G30</f>
        <v>#DIV/0!</v>
      </c>
      <c r="J30" s="5"/>
    </row>
    <row r="31" spans="1:16" ht="23.25">
      <c r="A31" s="13">
        <v>3</v>
      </c>
      <c r="B31" s="14" t="s">
        <v>7</v>
      </c>
      <c r="C31" s="26" t="s">
        <v>35</v>
      </c>
      <c r="D31" s="246">
        <v>0</v>
      </c>
      <c r="E31" s="246">
        <v>0</v>
      </c>
      <c r="F31" s="225">
        <v>0</v>
      </c>
      <c r="G31" s="225">
        <v>0</v>
      </c>
      <c r="H31" s="144">
        <v>0</v>
      </c>
      <c r="I31" s="143">
        <v>0</v>
      </c>
      <c r="J31" s="5"/>
    </row>
    <row r="32" spans="1:16" ht="23.25">
      <c r="A32" s="13">
        <v>4</v>
      </c>
      <c r="B32" s="14" t="s">
        <v>8</v>
      </c>
      <c r="C32" s="26" t="s">
        <v>35</v>
      </c>
      <c r="D32" s="246">
        <f>SUM(D29:D31)</f>
        <v>417.623141654253</v>
      </c>
      <c r="E32" s="246">
        <f>SUM(E29:E31)</f>
        <v>418.35753045987724</v>
      </c>
      <c r="F32" s="225">
        <v>417.03713037944317</v>
      </c>
      <c r="G32" s="225">
        <v>417.51125286307717</v>
      </c>
      <c r="H32" s="144">
        <f t="shared" si="4"/>
        <v>1.4051776979106139E-3</v>
      </c>
      <c r="I32" s="143">
        <f t="shared" si="5"/>
        <v>2.0269575753868387E-3</v>
      </c>
      <c r="J32" s="5"/>
    </row>
    <row r="33" spans="1:10" ht="23.25">
      <c r="A33" s="13">
        <v>5</v>
      </c>
      <c r="B33" s="14" t="s">
        <v>2</v>
      </c>
      <c r="C33" s="26" t="s">
        <v>35</v>
      </c>
      <c r="D33" s="251">
        <v>349.43062180503568</v>
      </c>
      <c r="E33" s="251">
        <v>364.94310058851141</v>
      </c>
      <c r="F33" s="219">
        <v>363.99317538373765</v>
      </c>
      <c r="G33" s="219">
        <v>378.85761950369789</v>
      </c>
      <c r="H33" s="144">
        <f t="shared" si="4"/>
        <v>-4.0007765429528948E-2</v>
      </c>
      <c r="I33" s="143">
        <f t="shared" si="5"/>
        <v>-3.6727567821954979E-2</v>
      </c>
      <c r="J33" s="5"/>
    </row>
    <row r="34" spans="1:10" ht="18" customHeight="1">
      <c r="A34" s="13">
        <v>6</v>
      </c>
      <c r="B34" s="14" t="s">
        <v>3</v>
      </c>
      <c r="C34" s="26" t="s">
        <v>35</v>
      </c>
      <c r="D34" s="313">
        <v>464.2378145790052</v>
      </c>
      <c r="E34" s="313">
        <v>463.51237856047618</v>
      </c>
      <c r="F34" s="345">
        <v>466.72806178851528</v>
      </c>
      <c r="G34" s="345">
        <v>469.80659964628825</v>
      </c>
      <c r="H34" s="373">
        <f t="shared" si="4"/>
        <v>-5.3355420712596002E-3</v>
      </c>
      <c r="I34" s="372">
        <f t="shared" si="5"/>
        <v>-1.3397472684613014E-2</v>
      </c>
      <c r="J34" s="5"/>
    </row>
    <row r="35" spans="1:10" ht="18" customHeight="1">
      <c r="A35" s="13">
        <v>7</v>
      </c>
      <c r="B35" s="14" t="s">
        <v>1</v>
      </c>
      <c r="C35" s="26" t="s">
        <v>35</v>
      </c>
      <c r="D35" s="315"/>
      <c r="E35" s="315" t="e">
        <v>#DIV/0!</v>
      </c>
      <c r="F35" s="346"/>
      <c r="G35" s="346" t="e">
        <v>#DIV/0!</v>
      </c>
      <c r="H35" s="373"/>
      <c r="I35" s="372"/>
      <c r="J35" s="5"/>
    </row>
    <row r="36" spans="1:10" ht="23.25">
      <c r="A36" s="13">
        <v>8</v>
      </c>
      <c r="B36" s="14" t="s">
        <v>9</v>
      </c>
      <c r="C36" s="26" t="s">
        <v>35</v>
      </c>
      <c r="D36" s="251">
        <v>343.27180000979808</v>
      </c>
      <c r="E36" s="251">
        <v>343.3044391844598</v>
      </c>
      <c r="F36" s="219">
        <v>354.60010085293152</v>
      </c>
      <c r="G36" s="219">
        <v>356.69513253343774</v>
      </c>
      <c r="H36" s="144">
        <f t="shared" si="4"/>
        <v>-3.1946693799254688E-2</v>
      </c>
      <c r="I36" s="143">
        <f t="shared" si="5"/>
        <v>-3.7541003864757422E-2</v>
      </c>
      <c r="J36" s="5"/>
    </row>
    <row r="37" spans="1:10" ht="23.25">
      <c r="A37" s="13">
        <v>9</v>
      </c>
      <c r="B37" s="14" t="s">
        <v>10</v>
      </c>
      <c r="C37" s="26" t="s">
        <v>35</v>
      </c>
      <c r="D37" s="246">
        <v>398.5362040777411</v>
      </c>
      <c r="E37" s="246">
        <v>395.66264368301955</v>
      </c>
      <c r="F37" s="225">
        <v>406.34996849563049</v>
      </c>
      <c r="G37" s="225">
        <v>409.07770419559705</v>
      </c>
      <c r="H37" s="144">
        <f t="shared" si="4"/>
        <v>-1.9229149806057902E-2</v>
      </c>
      <c r="I37" s="143">
        <f t="shared" si="5"/>
        <v>-3.2793428668904424E-2</v>
      </c>
      <c r="J37" s="5"/>
    </row>
    <row r="38" spans="1:10" ht="23.25">
      <c r="A38" s="13">
        <v>10</v>
      </c>
      <c r="B38" s="14" t="s">
        <v>223</v>
      </c>
      <c r="C38" s="26" t="s">
        <v>35</v>
      </c>
      <c r="D38" s="251">
        <v>76.434897562928242</v>
      </c>
      <c r="E38" s="251">
        <v>83.628686709068106</v>
      </c>
      <c r="F38" s="219">
        <v>76.392967033508356</v>
      </c>
      <c r="G38" s="219">
        <v>90.893792245085393</v>
      </c>
      <c r="H38" s="144">
        <f t="shared" si="4"/>
        <v>5.4887944595075555E-4</v>
      </c>
      <c r="I38" s="143">
        <f t="shared" si="5"/>
        <v>-7.992961187522804E-2</v>
      </c>
      <c r="J38" s="5"/>
    </row>
    <row r="39" spans="1:10" ht="23.25">
      <c r="A39" s="13">
        <v>11</v>
      </c>
      <c r="B39" s="14" t="s">
        <v>11</v>
      </c>
      <c r="C39" s="26" t="s">
        <v>35</v>
      </c>
      <c r="D39" s="246">
        <v>330.43376611106311</v>
      </c>
      <c r="E39" s="246">
        <v>346.72666389783734</v>
      </c>
      <c r="F39" s="225">
        <v>339.68254803352403</v>
      </c>
      <c r="G39" s="225">
        <v>364.02398252850878</v>
      </c>
      <c r="H39" s="144">
        <f t="shared" si="4"/>
        <v>-2.7227721812626469E-2</v>
      </c>
      <c r="I39" s="143">
        <f t="shared" si="5"/>
        <v>-4.7516975421576214E-2</v>
      </c>
      <c r="J39" s="5"/>
    </row>
    <row r="40" spans="1:10" ht="24" thickBot="1">
      <c r="A40" s="15"/>
      <c r="B40" s="16" t="s">
        <v>12</v>
      </c>
      <c r="C40" s="27" t="s">
        <v>35</v>
      </c>
      <c r="D40" s="246">
        <v>379.21040172925387</v>
      </c>
      <c r="E40" s="246">
        <v>381.41932585680155</v>
      </c>
      <c r="F40" s="225">
        <v>382.63449599668672</v>
      </c>
      <c r="G40" s="225">
        <v>391.21000653447823</v>
      </c>
      <c r="H40" s="141">
        <f t="shared" si="4"/>
        <v>-8.9487338524294972E-3</v>
      </c>
      <c r="I40" s="142">
        <f t="shared" si="5"/>
        <v>-2.5026662186908556E-2</v>
      </c>
      <c r="J40" s="5"/>
    </row>
    <row r="41" spans="1:10" ht="15.75" customHeight="1">
      <c r="A41" s="6"/>
      <c r="B41" s="7"/>
      <c r="C41" s="8"/>
      <c r="D41" s="116"/>
      <c r="E41" s="116"/>
      <c r="F41" s="23"/>
      <c r="G41" s="23"/>
      <c r="H41" s="10"/>
      <c r="I41" s="11"/>
      <c r="J41" s="5"/>
    </row>
    <row r="42" spans="1:10" ht="20.25">
      <c r="A42" s="3" t="s">
        <v>45</v>
      </c>
      <c r="B42" s="9" t="s">
        <v>36</v>
      </c>
      <c r="C42" s="8"/>
      <c r="D42" s="116"/>
      <c r="E42" s="116"/>
      <c r="F42" s="23"/>
      <c r="G42" s="23"/>
      <c r="H42" s="10"/>
      <c r="I42" s="11"/>
      <c r="J42" s="5"/>
    </row>
    <row r="43" spans="1:10" ht="12" customHeight="1" thickBot="1">
      <c r="A43" s="6"/>
      <c r="B43" s="7"/>
      <c r="C43" s="8"/>
      <c r="D43" s="116"/>
      <c r="E43" s="116"/>
      <c r="F43" s="23"/>
      <c r="G43" s="23"/>
      <c r="H43" s="10"/>
      <c r="I43" s="11"/>
      <c r="J43" s="5"/>
    </row>
    <row r="44" spans="1:10" ht="23.25">
      <c r="A44" s="12">
        <v>1</v>
      </c>
      <c r="B44" s="17" t="s">
        <v>4</v>
      </c>
      <c r="C44" s="4" t="s">
        <v>37</v>
      </c>
      <c r="D44" s="252">
        <f>'SHEET-4'!D29/'SHEET-4'!D14*10^6</f>
        <v>356901.11104140524</v>
      </c>
      <c r="E44" s="252">
        <f>'SHEET-4'!E29/'SHEET-4'!E14*10^6</f>
        <v>1624441.8889585948</v>
      </c>
      <c r="F44" s="45">
        <f>'SHEET-4'!F29/'SHEET-4'!F14*10^6</f>
        <v>348321.19775741675</v>
      </c>
      <c r="G44" s="45">
        <f>'SHEET-4'!G29/'SHEET-4'!G14*10^6</f>
        <v>1643759.6794328096</v>
      </c>
      <c r="H44" s="139">
        <f>(D44-F44)/F44</f>
        <v>2.4632188162041865E-2</v>
      </c>
      <c r="I44" s="140">
        <f>(E44-G44)/G44</f>
        <v>-1.1752198764773545E-2</v>
      </c>
      <c r="J44" s="5"/>
    </row>
    <row r="45" spans="1:10" ht="23.25">
      <c r="A45" s="13">
        <v>2</v>
      </c>
      <c r="B45" s="14" t="s">
        <v>82</v>
      </c>
      <c r="C45" s="26" t="s">
        <v>37</v>
      </c>
      <c r="D45" s="253">
        <v>0</v>
      </c>
      <c r="E45" s="254">
        <v>0</v>
      </c>
      <c r="F45" s="46">
        <v>0</v>
      </c>
      <c r="G45" s="212">
        <v>0</v>
      </c>
      <c r="H45" s="193" t="e">
        <f t="shared" ref="H45:H55" si="6">(D45-F45)/F45</f>
        <v>#DIV/0!</v>
      </c>
      <c r="I45" s="197" t="e">
        <f t="shared" ref="I45:I54" si="7">(E45-G45)/G45</f>
        <v>#DIV/0!</v>
      </c>
      <c r="J45" s="5"/>
    </row>
    <row r="46" spans="1:10" ht="24" thickBot="1">
      <c r="A46" s="13">
        <v>3</v>
      </c>
      <c r="B46" s="14" t="s">
        <v>7</v>
      </c>
      <c r="C46" s="26" t="s">
        <v>37</v>
      </c>
      <c r="D46" s="209">
        <v>0</v>
      </c>
      <c r="E46" s="225">
        <f t="shared" ref="E46" si="8">D46</f>
        <v>0</v>
      </c>
      <c r="F46" s="46">
        <v>0</v>
      </c>
      <c r="G46" s="212">
        <v>0</v>
      </c>
      <c r="H46" s="52">
        <v>0</v>
      </c>
      <c r="I46" s="93">
        <v>0</v>
      </c>
      <c r="J46" s="5"/>
    </row>
    <row r="47" spans="1:10" ht="24" thickBot="1">
      <c r="A47" s="13">
        <v>4</v>
      </c>
      <c r="B47" s="14" t="s">
        <v>8</v>
      </c>
      <c r="C47" s="26" t="s">
        <v>37</v>
      </c>
      <c r="D47" s="252">
        <f>'SHEET-4'!D32/'SHEET-4'!D17*10^6</f>
        <v>356901.11104140524</v>
      </c>
      <c r="E47" s="252">
        <f>'SHEET-4'!E32/'SHEET-4'!E17*10^6</f>
        <v>1624441.8889585948</v>
      </c>
      <c r="F47" s="46">
        <f>'SHEET-4'!F32/'SHEET-4'!F17*10^6</f>
        <v>348321.19775741675</v>
      </c>
      <c r="G47" s="212">
        <f>'SHEET-4'!G32/'SHEET-4'!G17*10^6</f>
        <v>1643759.6794328096</v>
      </c>
      <c r="H47" s="52">
        <f t="shared" si="6"/>
        <v>2.4632188162041865E-2</v>
      </c>
      <c r="I47" s="93">
        <f t="shared" si="7"/>
        <v>-1.1752198764773545E-2</v>
      </c>
      <c r="J47" s="5"/>
    </row>
    <row r="48" spans="1:10" ht="23.25">
      <c r="A48" s="13">
        <v>5</v>
      </c>
      <c r="B48" s="14" t="s">
        <v>2</v>
      </c>
      <c r="C48" s="26" t="s">
        <v>37</v>
      </c>
      <c r="D48" s="252">
        <f>'SHEET-4'!D33/'SHEET-4'!D18*10^6</f>
        <v>155.29723847911802</v>
      </c>
      <c r="E48" s="252">
        <f>'SHEET-4'!E33/'SHEET-4'!E18*10^6</f>
        <v>1025.2281322781046</v>
      </c>
      <c r="F48" s="46">
        <f>'SHEET-4'!F33/'SHEET-4'!F18*10^6</f>
        <v>175.62742757609436</v>
      </c>
      <c r="G48" s="212">
        <f>'SHEET-4'!G33/'SHEET-4'!G18*10^6</f>
        <v>1010.0034730576276</v>
      </c>
      <c r="H48" s="52">
        <f t="shared" si="6"/>
        <v>-0.11575748376868897</v>
      </c>
      <c r="I48" s="93">
        <f t="shared" si="7"/>
        <v>1.5073868186202049E-2</v>
      </c>
      <c r="J48" s="5"/>
    </row>
    <row r="49" spans="1:10" ht="18" customHeight="1">
      <c r="A49" s="13">
        <v>6</v>
      </c>
      <c r="B49" s="14" t="s">
        <v>3</v>
      </c>
      <c r="C49" s="26" t="s">
        <v>37</v>
      </c>
      <c r="D49" s="371">
        <f>'SHEET-4'!D34/'SHEET-4'!D19*10^6</f>
        <v>1062.2163685437499</v>
      </c>
      <c r="E49" s="371">
        <f>'SHEET-4'!E34/'SHEET-4'!E19*10^6</f>
        <v>4228.4494182681647</v>
      </c>
      <c r="F49" s="376">
        <f>'SHEET-4'!F34/'SHEET-4'!F19*10^6</f>
        <v>1130.8128364145327</v>
      </c>
      <c r="G49" s="376">
        <f>'SHEET-4'!G34/'SHEET-4'!G19*10^6</f>
        <v>4705.7026733648045</v>
      </c>
      <c r="H49" s="373">
        <f t="shared" si="6"/>
        <v>-6.0661203748165415E-2</v>
      </c>
      <c r="I49" s="372">
        <f t="shared" si="7"/>
        <v>-0.10142018912456717</v>
      </c>
      <c r="J49" s="5"/>
    </row>
    <row r="50" spans="1:10" ht="18" customHeight="1" thickBot="1">
      <c r="A50" s="13">
        <v>7</v>
      </c>
      <c r="B50" s="14" t="s">
        <v>1</v>
      </c>
      <c r="C50" s="26" t="s">
        <v>37</v>
      </c>
      <c r="D50" s="371"/>
      <c r="E50" s="371"/>
      <c r="F50" s="376"/>
      <c r="G50" s="376"/>
      <c r="H50" s="373"/>
      <c r="I50" s="372"/>
      <c r="J50" s="5"/>
    </row>
    <row r="51" spans="1:10" ht="24" thickBot="1">
      <c r="A51" s="13">
        <v>8</v>
      </c>
      <c r="B51" s="14" t="s">
        <v>9</v>
      </c>
      <c r="C51" s="26" t="s">
        <v>37</v>
      </c>
      <c r="D51" s="252">
        <f>'SHEET-4'!D36/'SHEET-4'!D21*10^6</f>
        <v>3208.5490703694986</v>
      </c>
      <c r="E51" s="252">
        <f>'SHEET-4'!E36/'SHEET-4'!E21*10^6</f>
        <v>10665.891974582255</v>
      </c>
      <c r="F51" s="46">
        <f>'SHEET-4'!F36/'SHEET-4'!F21*10^6</f>
        <v>3437.1165171276166</v>
      </c>
      <c r="G51" s="212">
        <f>'SHEET-4'!G36/'SHEET-4'!G21*10^6</f>
        <v>11579.224863564887</v>
      </c>
      <c r="H51" s="52">
        <f t="shared" si="6"/>
        <v>-6.6499766772274219E-2</v>
      </c>
      <c r="I51" s="93">
        <f t="shared" si="7"/>
        <v>-7.8876859180489617E-2</v>
      </c>
      <c r="J51" s="5"/>
    </row>
    <row r="52" spans="1:10" ht="24" thickBot="1">
      <c r="A52" s="13">
        <v>9</v>
      </c>
      <c r="B52" s="14" t="s">
        <v>10</v>
      </c>
      <c r="C52" s="26" t="s">
        <v>37</v>
      </c>
      <c r="D52" s="252">
        <f>'SHEET-4'!D37/'SHEET-4'!D22*10^6</f>
        <v>294.53171426170735</v>
      </c>
      <c r="E52" s="252">
        <f>'SHEET-4'!E37/'SHEET-4'!E22*10^6</f>
        <v>1504.6786292374593</v>
      </c>
      <c r="F52" s="46">
        <f>'SHEET-4'!F37/'SHEET-4'!F22*10^6</f>
        <v>320.43830152101486</v>
      </c>
      <c r="G52" s="212">
        <f>'SHEET-4'!G37/'SHEET-4'!G22*10^6</f>
        <v>1548.7199820835685</v>
      </c>
      <c r="H52" s="52">
        <f t="shared" si="6"/>
        <v>-8.0847349197450791E-2</v>
      </c>
      <c r="I52" s="93">
        <f t="shared" si="7"/>
        <v>-2.8437260031253853E-2</v>
      </c>
      <c r="J52" s="5"/>
    </row>
    <row r="53" spans="1:10" ht="24" thickBot="1">
      <c r="A53" s="13">
        <v>10</v>
      </c>
      <c r="B53" s="14" t="s">
        <v>5</v>
      </c>
      <c r="C53" s="26" t="s">
        <v>37</v>
      </c>
      <c r="D53" s="252">
        <f>'SHEET-4'!D38/'SHEET-4'!D23*10^6</f>
        <v>2089.734374918025</v>
      </c>
      <c r="E53" s="252">
        <f>'SHEET-4'!E38/'SHEET-4'!E23*10^6</f>
        <v>7152.6124434044923</v>
      </c>
      <c r="F53" s="46">
        <f>'SHEET-4'!F38/'SHEET-4'!F23*10^6</f>
        <v>2057.6666126246005</v>
      </c>
      <c r="G53" s="212">
        <f>'SHEET-4'!G38/'SHEET-4'!G23*10^6</f>
        <v>6783.0975049336685</v>
      </c>
      <c r="H53" s="52">
        <f t="shared" si="6"/>
        <v>1.558452768620342E-2</v>
      </c>
      <c r="I53" s="93">
        <f t="shared" si="7"/>
        <v>5.4475840602624108E-2</v>
      </c>
      <c r="J53" s="5"/>
    </row>
    <row r="54" spans="1:10" ht="24" thickBot="1">
      <c r="A54" s="13">
        <v>11</v>
      </c>
      <c r="B54" s="14" t="s">
        <v>11</v>
      </c>
      <c r="C54" s="26" t="s">
        <v>37</v>
      </c>
      <c r="D54" s="252">
        <f>'SHEET-4'!D39/'SHEET-4'!D24*10^6</f>
        <v>396.84328796892294</v>
      </c>
      <c r="E54" s="252">
        <f>'SHEET-4'!E39/'SHEET-4'!E24*10^6</f>
        <v>1826.5637341260442</v>
      </c>
      <c r="F54" s="46">
        <f>'SHEET-4'!F39/'SHEET-4'!F24*10^6</f>
        <v>415.73025226313729</v>
      </c>
      <c r="G54" s="212">
        <f>'SHEET-4'!G39/'SHEET-4'!G24*10^6</f>
        <v>1835.8405878698297</v>
      </c>
      <c r="H54" s="52">
        <f t="shared" si="6"/>
        <v>-4.5430815273601523E-2</v>
      </c>
      <c r="I54" s="93">
        <f t="shared" si="7"/>
        <v>-5.0531913310347286E-3</v>
      </c>
      <c r="J54" s="5"/>
    </row>
    <row r="55" spans="1:10" ht="24" thickBot="1">
      <c r="A55" s="15"/>
      <c r="B55" s="16" t="s">
        <v>12</v>
      </c>
      <c r="C55" s="27" t="s">
        <v>37</v>
      </c>
      <c r="D55" s="252">
        <f>'SHEET-4'!D40/'SHEET-4'!D25*10^6</f>
        <v>651.53005112548681</v>
      </c>
      <c r="E55" s="252">
        <f>'SHEET-4'!E40/'SHEET-4'!E25*10^6</f>
        <v>2985.7606425778404</v>
      </c>
      <c r="F55" s="125">
        <f>'SHEET-4'!F40/'SHEET-4'!F25*10^6</f>
        <v>660.08751658774725</v>
      </c>
      <c r="G55" s="125">
        <f>'SHEET-4'!G40/'SHEET-4'!G25*10^6</f>
        <v>2989.0734484128106</v>
      </c>
      <c r="H55" s="141">
        <f t="shared" si="6"/>
        <v>-1.2964137704796106E-2</v>
      </c>
      <c r="I55" s="142">
        <f>(E55-G55)/G55</f>
        <v>-1.1083052632009987E-3</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20"/>
      <c r="B58" s="320"/>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9">
    <mergeCell ref="E49:E50"/>
    <mergeCell ref="H49:H50"/>
    <mergeCell ref="G34:G35"/>
    <mergeCell ref="F49:F50"/>
    <mergeCell ref="G49:G50"/>
    <mergeCell ref="A58:B58"/>
    <mergeCell ref="H12:H13"/>
    <mergeCell ref="I12:I13"/>
    <mergeCell ref="D13:E13"/>
    <mergeCell ref="D11:E11"/>
    <mergeCell ref="D49:D50"/>
    <mergeCell ref="I49:I50"/>
    <mergeCell ref="H34:H35"/>
    <mergeCell ref="I34:I35"/>
    <mergeCell ref="F19:F20"/>
    <mergeCell ref="G19:G20"/>
    <mergeCell ref="F34:F35"/>
    <mergeCell ref="F11:G11"/>
    <mergeCell ref="H19:H20"/>
    <mergeCell ref="I19:I20"/>
    <mergeCell ref="F13:G13"/>
    <mergeCell ref="D19:D20"/>
    <mergeCell ref="E19:E20"/>
    <mergeCell ref="D34:D35"/>
    <mergeCell ref="E34:E35"/>
    <mergeCell ref="A5:I5"/>
    <mergeCell ref="A9:I9"/>
    <mergeCell ref="A7:I7"/>
    <mergeCell ref="H11:I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0" zoomScale="60" zoomScaleNormal="60" workbookViewId="0">
      <selection activeCell="C32" sqref="C32"/>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8" ht="33">
      <c r="E1" s="86" t="s">
        <v>227</v>
      </c>
    </row>
    <row r="4" spans="1:8" ht="37.5">
      <c r="A4" s="323" t="s">
        <v>0</v>
      </c>
      <c r="B4" s="323"/>
      <c r="C4" s="323"/>
      <c r="D4" s="323"/>
      <c r="E4" s="323"/>
    </row>
    <row r="5" spans="1:8" ht="18" customHeight="1">
      <c r="A5" s="87"/>
      <c r="B5" s="87"/>
      <c r="C5" s="87"/>
    </row>
    <row r="6" spans="1:8" ht="30">
      <c r="A6" s="324" t="s">
        <v>99</v>
      </c>
      <c r="B6" s="324"/>
      <c r="C6" s="324"/>
      <c r="D6" s="324"/>
      <c r="E6" s="324"/>
    </row>
    <row r="7" spans="1:8" ht="18" customHeight="1" thickBot="1"/>
    <row r="8" spans="1:8" ht="18" customHeight="1">
      <c r="A8" s="88"/>
      <c r="B8" s="89"/>
      <c r="C8" s="129" t="s">
        <v>105</v>
      </c>
      <c r="D8" s="129" t="s">
        <v>66</v>
      </c>
      <c r="E8" s="130" t="s">
        <v>17</v>
      </c>
    </row>
    <row r="9" spans="1:8" ht="18" customHeight="1">
      <c r="A9" s="90"/>
      <c r="B9" s="49"/>
      <c r="C9" s="152" t="s">
        <v>236</v>
      </c>
      <c r="D9" s="238" t="s">
        <v>235</v>
      </c>
      <c r="E9" s="30"/>
    </row>
    <row r="10" spans="1:8" ht="20.25">
      <c r="A10" s="90" t="s">
        <v>38</v>
      </c>
      <c r="B10" s="92" t="s">
        <v>84</v>
      </c>
      <c r="C10" s="148" t="s">
        <v>62</v>
      </c>
      <c r="D10" s="153" t="s">
        <v>62</v>
      </c>
      <c r="E10" s="131"/>
    </row>
    <row r="11" spans="1:8" ht="23.25">
      <c r="A11" s="90">
        <v>1</v>
      </c>
      <c r="B11" s="92" t="s">
        <v>85</v>
      </c>
      <c r="C11" s="149">
        <f>612567.712865175/100</f>
        <v>6125.6771286517496</v>
      </c>
      <c r="D11" s="203">
        <f>620093.38/100</f>
        <v>6200.9337999999998</v>
      </c>
      <c r="E11" s="170">
        <f>(C11-D11)/D11</f>
        <v>-1.2136344907963727E-2</v>
      </c>
      <c r="H11" s="233"/>
    </row>
    <row r="12" spans="1:8" ht="23.25">
      <c r="A12" s="90">
        <v>2</v>
      </c>
      <c r="B12" s="92" t="s">
        <v>86</v>
      </c>
      <c r="C12" s="149">
        <f>16605.5516/100</f>
        <v>166.05551599999998</v>
      </c>
      <c r="D12" s="203">
        <f>15481.48/100</f>
        <v>154.81479999999999</v>
      </c>
      <c r="E12" s="170">
        <f>(C12-D12)/D12</f>
        <v>7.2607502641866231E-2</v>
      </c>
      <c r="F12" s="190"/>
      <c r="G12" s="204"/>
    </row>
    <row r="13" spans="1:8" ht="23.25">
      <c r="A13" s="90">
        <v>3</v>
      </c>
      <c r="B13" s="92" t="s">
        <v>126</v>
      </c>
      <c r="C13" s="149">
        <v>62.577200000000005</v>
      </c>
      <c r="D13" s="203">
        <f>6257.72/100</f>
        <v>62.577200000000005</v>
      </c>
      <c r="E13" s="170">
        <f>(C13-D13)/D13</f>
        <v>0</v>
      </c>
    </row>
    <row r="14" spans="1:8" ht="23.25">
      <c r="A14" s="90">
        <v>4</v>
      </c>
      <c r="B14" s="92" t="s">
        <v>87</v>
      </c>
      <c r="C14" s="149">
        <f>15450.38979/100</f>
        <v>154.5038979</v>
      </c>
      <c r="D14" s="203">
        <f>14834.51/100</f>
        <v>148.3451</v>
      </c>
      <c r="E14" s="170">
        <f>(C14-D14)/D14</f>
        <v>4.1516692496078374E-2</v>
      </c>
    </row>
    <row r="15" spans="1:8" ht="23.25">
      <c r="A15" s="90">
        <v>5</v>
      </c>
      <c r="B15" s="92" t="s">
        <v>120</v>
      </c>
      <c r="C15" s="149">
        <f>SUM(C11:C14)</f>
        <v>6508.8137425517498</v>
      </c>
      <c r="D15" s="203">
        <f>SUM(D11:D14)</f>
        <v>6566.6708999999992</v>
      </c>
      <c r="E15" s="170">
        <f>(C15-D15)/D15</f>
        <v>-8.8107289567761638E-3</v>
      </c>
    </row>
    <row r="16" spans="1:8" ht="17.25" customHeight="1">
      <c r="A16" s="90"/>
      <c r="B16" s="92"/>
      <c r="C16" s="149"/>
      <c r="D16" s="203"/>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10">
        <f>536898.77/100</f>
        <v>5368.9877000000006</v>
      </c>
      <c r="D19" s="310">
        <f>(542675.35-62.86)/100</f>
        <v>5426.1248999999998</v>
      </c>
      <c r="E19" s="377">
        <f>(C19-D19)/D19</f>
        <v>-1.0530019314520241E-2</v>
      </c>
    </row>
    <row r="20" spans="1:11" ht="18" customHeight="1">
      <c r="A20" s="90">
        <v>2</v>
      </c>
      <c r="B20" s="92" t="s">
        <v>90</v>
      </c>
      <c r="C20" s="311"/>
      <c r="D20" s="311"/>
      <c r="E20" s="378"/>
    </row>
    <row r="21" spans="1:11" ht="18" customHeight="1">
      <c r="A21" s="90">
        <v>3</v>
      </c>
      <c r="B21" s="92" t="s">
        <v>91</v>
      </c>
      <c r="C21" s="312"/>
      <c r="D21" s="312"/>
      <c r="E21" s="379"/>
    </row>
    <row r="22" spans="1:11" ht="23.25">
      <c r="A22" s="90">
        <v>4</v>
      </c>
      <c r="B22" s="92" t="s">
        <v>92</v>
      </c>
      <c r="C22" s="171"/>
      <c r="D22" s="203"/>
      <c r="E22" s="170">
        <v>0</v>
      </c>
    </row>
    <row r="23" spans="1:11" ht="25.5" customHeight="1">
      <c r="A23" s="90">
        <v>5</v>
      </c>
      <c r="B23" s="92" t="s">
        <v>93</v>
      </c>
      <c r="C23" s="171">
        <f>54509.81003/100</f>
        <v>545.09810030000006</v>
      </c>
      <c r="D23" s="203">
        <f>51735.22/100</f>
        <v>517.35220000000004</v>
      </c>
      <c r="E23" s="170">
        <f>(C23-D23)/D23</f>
        <v>5.3630583382075138E-2</v>
      </c>
    </row>
    <row r="24" spans="1:11" ht="23.25">
      <c r="A24" s="90">
        <v>6</v>
      </c>
      <c r="B24" s="92" t="s">
        <v>27</v>
      </c>
      <c r="C24" s="171">
        <f>6477.502/100</f>
        <v>64.775019999999998</v>
      </c>
      <c r="D24" s="203">
        <f>6169.04/100</f>
        <v>61.690399999999997</v>
      </c>
      <c r="E24" s="170">
        <f>(C24-D24)/D24</f>
        <v>5.0001620997756561E-2</v>
      </c>
    </row>
    <row r="25" spans="1:11" ht="23.25">
      <c r="A25" s="90">
        <v>7</v>
      </c>
      <c r="B25" s="92" t="s">
        <v>94</v>
      </c>
      <c r="C25" s="171">
        <f>8118.0544/100</f>
        <v>81.180543999999998</v>
      </c>
      <c r="D25" s="203">
        <f>7793.36/100</f>
        <v>77.933599999999998</v>
      </c>
      <c r="E25" s="170">
        <f>(C25-D25)/D25</f>
        <v>4.1662954104519735E-2</v>
      </c>
    </row>
    <row r="26" spans="1:11" ht="23.25">
      <c r="A26" s="90">
        <v>8</v>
      </c>
      <c r="B26" s="92" t="s">
        <v>95</v>
      </c>
      <c r="C26" s="171">
        <f>3503.645/100</f>
        <v>35.036450000000002</v>
      </c>
      <c r="D26" s="203">
        <f>8574.9/100</f>
        <v>85.748999999999995</v>
      </c>
      <c r="E26" s="232">
        <f>(C26-D26)/D26</f>
        <v>-0.59140689687343284</v>
      </c>
    </row>
    <row r="27" spans="1:11" ht="12.75" customHeight="1">
      <c r="A27" s="90"/>
      <c r="B27" s="92"/>
      <c r="C27" s="171"/>
      <c r="D27" s="203"/>
      <c r="E27" s="151"/>
    </row>
    <row r="28" spans="1:11" ht="23.25">
      <c r="A28" s="90">
        <v>9</v>
      </c>
      <c r="B28" s="92" t="s">
        <v>28</v>
      </c>
      <c r="C28" s="171">
        <f>27795.1945690818/100</f>
        <v>277.95194569081798</v>
      </c>
      <c r="D28" s="203">
        <f>26236.66/100</f>
        <v>262.36660000000001</v>
      </c>
      <c r="E28" s="170">
        <f t="shared" ref="E28:E33" si="0">(C28-D28)/D28</f>
        <v>5.9402933493889747E-2</v>
      </c>
    </row>
    <row r="29" spans="1:11" ht="27" customHeight="1">
      <c r="A29" s="90">
        <v>10</v>
      </c>
      <c r="B29" s="92" t="s">
        <v>26</v>
      </c>
      <c r="C29" s="171">
        <f>6558.40810356938/100</f>
        <v>65.584081035693799</v>
      </c>
      <c r="D29" s="203">
        <f>6377.45/100</f>
        <v>63.774499999999996</v>
      </c>
      <c r="E29" s="170">
        <f t="shared" si="0"/>
        <v>2.8374680094611533E-2</v>
      </c>
    </row>
    <row r="30" spans="1:11" ht="23.25">
      <c r="A30" s="90">
        <v>11</v>
      </c>
      <c r="B30" s="92" t="s">
        <v>96</v>
      </c>
      <c r="C30" s="171">
        <v>0</v>
      </c>
      <c r="D30" s="203">
        <v>0</v>
      </c>
      <c r="E30" s="170"/>
    </row>
    <row r="31" spans="1:11" ht="23.25">
      <c r="A31" s="90">
        <v>12</v>
      </c>
      <c r="B31" s="92" t="s">
        <v>230</v>
      </c>
      <c r="C31" s="171">
        <v>0</v>
      </c>
      <c r="D31" s="203">
        <v>0</v>
      </c>
      <c r="E31" s="170">
        <v>0</v>
      </c>
    </row>
    <row r="32" spans="1:11" ht="23.25">
      <c r="A32" s="90">
        <v>13</v>
      </c>
      <c r="B32" s="92" t="s">
        <v>97</v>
      </c>
      <c r="C32" s="171">
        <f>-3281.02043478261/100</f>
        <v>-32.810204347826101</v>
      </c>
      <c r="D32" s="203">
        <f>-5464.44/100</f>
        <v>-54.644399999999997</v>
      </c>
      <c r="E32" s="170"/>
    </row>
    <row r="33" spans="1:13" ht="23.25">
      <c r="A33" s="90">
        <v>14</v>
      </c>
      <c r="B33" s="92" t="s">
        <v>231</v>
      </c>
      <c r="C33" s="22">
        <f>SUM(C19:C32)</f>
        <v>6405.8036366786864</v>
      </c>
      <c r="D33" s="22">
        <f>SUM(D19:D32)</f>
        <v>6440.3468000000012</v>
      </c>
      <c r="E33" s="170">
        <f t="shared" si="0"/>
        <v>-5.3635564037195554E-3</v>
      </c>
    </row>
    <row r="34" spans="1:13" ht="15" customHeight="1">
      <c r="A34" s="90"/>
      <c r="B34" s="92"/>
      <c r="C34" s="22"/>
      <c r="D34" s="22"/>
      <c r="E34" s="178" t="s">
        <v>232</v>
      </c>
    </row>
    <row r="35" spans="1:13" ht="20.25" customHeight="1">
      <c r="A35" s="90" t="s">
        <v>45</v>
      </c>
      <c r="B35" s="92" t="s">
        <v>98</v>
      </c>
      <c r="C35" s="171">
        <f>C15-C33</f>
        <v>103.01010587306337</v>
      </c>
      <c r="D35" s="203">
        <f>D15-D33</f>
        <v>126.324099999998</v>
      </c>
      <c r="E35" s="170">
        <f>(C35-D35)/D35</f>
        <v>-0.18455697786040035</v>
      </c>
      <c r="F35" s="97"/>
      <c r="K35" s="132"/>
      <c r="L35" s="132"/>
      <c r="M35" s="133"/>
    </row>
    <row r="36" spans="1:13" ht="23.25">
      <c r="A36" s="90"/>
      <c r="B36" s="92"/>
      <c r="C36" s="20"/>
      <c r="D36" s="20"/>
      <c r="E36" s="138"/>
    </row>
    <row r="37" spans="1:13" ht="23.25" customHeight="1" thickBot="1">
      <c r="A37" s="380" t="s">
        <v>127</v>
      </c>
      <c r="B37" s="381"/>
      <c r="C37" s="381"/>
      <c r="D37" s="381"/>
      <c r="E37" s="382"/>
    </row>
    <row r="40" spans="1:13" ht="12.75" customHeight="1">
      <c r="A40" s="320"/>
      <c r="B40" s="320"/>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4"/>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B1:L32"/>
  <sheetViews>
    <sheetView tabSelected="1" view="pageBreakPreview" topLeftCell="A19" zoomScale="115" zoomScaleSheetLayoutView="115" workbookViewId="0">
      <selection activeCell="B4" sqref="B4:B5"/>
    </sheetView>
  </sheetViews>
  <sheetFormatPr defaultRowHeight="12.75"/>
  <cols>
    <col min="1" max="1" width="1.5703125" style="284" customWidth="1"/>
    <col min="2" max="2" width="9.140625" style="284" customWidth="1"/>
    <col min="3" max="3" width="12.28515625" style="284" customWidth="1"/>
    <col min="4" max="4" width="9.140625" style="284" customWidth="1"/>
    <col min="5" max="5" width="14.7109375" style="284" customWidth="1"/>
    <col min="6" max="6" width="9.140625" style="284" customWidth="1"/>
    <col min="7" max="7" width="2" style="284" customWidth="1"/>
    <col min="8" max="8" width="9.140625" style="284"/>
    <col min="9" max="9" width="14.7109375" style="284" customWidth="1"/>
    <col min="10" max="10" width="9.140625" style="284"/>
    <col min="11" max="11" width="14.5703125" style="284" customWidth="1"/>
    <col min="12" max="12" width="16.42578125" style="284" customWidth="1"/>
    <col min="13" max="16384" width="9.140625" style="284"/>
  </cols>
  <sheetData>
    <row r="1" spans="2:12" ht="24.75" customHeight="1" thickBot="1">
      <c r="B1" s="399" t="s">
        <v>260</v>
      </c>
      <c r="C1" s="400"/>
      <c r="D1" s="400"/>
      <c r="E1" s="400"/>
      <c r="F1" s="400"/>
      <c r="G1" s="400"/>
      <c r="H1" s="400"/>
      <c r="I1" s="400"/>
      <c r="J1" s="400"/>
      <c r="K1" s="400"/>
      <c r="L1" s="401"/>
    </row>
    <row r="2" spans="2:12" ht="9" customHeight="1">
      <c r="B2" s="285"/>
      <c r="C2" s="285"/>
      <c r="D2" s="285"/>
      <c r="E2" s="285"/>
      <c r="F2" s="285"/>
      <c r="G2" s="285"/>
      <c r="H2" s="285"/>
      <c r="I2" s="285"/>
      <c r="J2" s="285"/>
      <c r="K2" s="285"/>
      <c r="L2" s="285"/>
    </row>
    <row r="3" spans="2:12" ht="21.75" customHeight="1" thickBot="1">
      <c r="B3" s="402" t="s">
        <v>261</v>
      </c>
      <c r="C3" s="403"/>
      <c r="D3" s="403"/>
      <c r="E3" s="403"/>
      <c r="F3" s="403"/>
      <c r="G3" s="403"/>
      <c r="H3" s="403"/>
      <c r="I3" s="403"/>
      <c r="J3" s="403"/>
      <c r="K3" s="403"/>
      <c r="L3" s="404"/>
    </row>
    <row r="4" spans="2:12" ht="27.75" customHeight="1">
      <c r="B4" s="394" t="s">
        <v>199</v>
      </c>
      <c r="C4" s="395" t="s">
        <v>262</v>
      </c>
      <c r="D4" s="395" t="s">
        <v>263</v>
      </c>
      <c r="E4" s="395"/>
      <c r="F4" s="395"/>
      <c r="G4" s="286"/>
      <c r="H4" s="395" t="s">
        <v>264</v>
      </c>
      <c r="I4" s="395"/>
      <c r="J4" s="395"/>
      <c r="K4" s="395" t="s">
        <v>265</v>
      </c>
      <c r="L4" s="397" t="s">
        <v>266</v>
      </c>
    </row>
    <row r="5" spans="2:12" ht="68.25" customHeight="1">
      <c r="B5" s="383"/>
      <c r="C5" s="396"/>
      <c r="D5" s="287" t="s">
        <v>267</v>
      </c>
      <c r="E5" s="287" t="s">
        <v>268</v>
      </c>
      <c r="F5" s="287" t="s">
        <v>269</v>
      </c>
      <c r="G5" s="288"/>
      <c r="H5" s="287" t="s">
        <v>267</v>
      </c>
      <c r="I5" s="287" t="s">
        <v>270</v>
      </c>
      <c r="J5" s="287" t="s">
        <v>269</v>
      </c>
      <c r="K5" s="396"/>
      <c r="L5" s="398"/>
    </row>
    <row r="6" spans="2:12" s="293" customFormat="1" ht="21" customHeight="1">
      <c r="B6" s="391" t="s">
        <v>271</v>
      </c>
      <c r="C6" s="289" t="s">
        <v>272</v>
      </c>
      <c r="D6" s="290">
        <v>33</v>
      </c>
      <c r="E6" s="289">
        <v>0</v>
      </c>
      <c r="F6" s="291">
        <v>2.74</v>
      </c>
      <c r="G6" s="292"/>
      <c r="H6" s="290">
        <v>33</v>
      </c>
      <c r="I6" s="289">
        <v>0</v>
      </c>
      <c r="J6" s="291">
        <v>9.0067015312484067E-2</v>
      </c>
      <c r="K6" s="289">
        <v>0</v>
      </c>
      <c r="L6" s="385" t="s">
        <v>273</v>
      </c>
    </row>
    <row r="7" spans="2:12" s="293" customFormat="1" ht="21" customHeight="1">
      <c r="B7" s="392"/>
      <c r="C7" s="289" t="s">
        <v>274</v>
      </c>
      <c r="D7" s="290">
        <v>16</v>
      </c>
      <c r="E7" s="289">
        <v>0</v>
      </c>
      <c r="F7" s="291">
        <v>0.86</v>
      </c>
      <c r="G7" s="292"/>
      <c r="H7" s="290">
        <v>16</v>
      </c>
      <c r="I7" s="289">
        <v>0</v>
      </c>
      <c r="J7" s="291">
        <v>0.3388006507436902</v>
      </c>
      <c r="K7" s="289">
        <v>0</v>
      </c>
      <c r="L7" s="386"/>
    </row>
    <row r="8" spans="2:12" s="293" customFormat="1" ht="21" customHeight="1">
      <c r="B8" s="392"/>
      <c r="C8" s="289" t="s">
        <v>275</v>
      </c>
      <c r="D8" s="290">
        <v>17</v>
      </c>
      <c r="E8" s="289">
        <v>0</v>
      </c>
      <c r="F8" s="291">
        <v>2.19</v>
      </c>
      <c r="G8" s="292"/>
      <c r="H8" s="290">
        <v>17</v>
      </c>
      <c r="I8" s="289">
        <v>0</v>
      </c>
      <c r="J8" s="291">
        <v>0.40139735179195568</v>
      </c>
      <c r="K8" s="289">
        <v>0</v>
      </c>
      <c r="L8" s="386"/>
    </row>
    <row r="9" spans="2:12" s="293" customFormat="1" ht="21" customHeight="1">
      <c r="B9" s="392"/>
      <c r="C9" s="289" t="s">
        <v>276</v>
      </c>
      <c r="D9" s="290">
        <v>1</v>
      </c>
      <c r="E9" s="289">
        <v>0</v>
      </c>
      <c r="F9" s="291">
        <v>2.34</v>
      </c>
      <c r="G9" s="292"/>
      <c r="H9" s="290">
        <v>1</v>
      </c>
      <c r="I9" s="289">
        <v>0</v>
      </c>
      <c r="J9" s="291">
        <v>-0.15653879122940917</v>
      </c>
      <c r="K9" s="289">
        <v>0</v>
      </c>
      <c r="L9" s="386"/>
    </row>
    <row r="10" spans="2:12" s="293" customFormat="1" ht="21" customHeight="1">
      <c r="B10" s="392"/>
      <c r="C10" s="289" t="s">
        <v>277</v>
      </c>
      <c r="D10" s="290">
        <v>16</v>
      </c>
      <c r="E10" s="289">
        <v>0</v>
      </c>
      <c r="F10" s="291">
        <v>0.2</v>
      </c>
      <c r="G10" s="292"/>
      <c r="H10" s="290">
        <v>16</v>
      </c>
      <c r="I10" s="289">
        <v>0</v>
      </c>
      <c r="J10" s="291">
        <v>-1.2512980609303967</v>
      </c>
      <c r="K10" s="289">
        <v>0</v>
      </c>
      <c r="L10" s="386"/>
    </row>
    <row r="11" spans="2:12" s="293" customFormat="1" ht="21" customHeight="1">
      <c r="B11" s="392"/>
      <c r="C11" s="294" t="s">
        <v>251</v>
      </c>
      <c r="D11" s="295">
        <f>SUM(D6:D10)</f>
        <v>83</v>
      </c>
      <c r="E11" s="295">
        <f>SUM(E6:E10)</f>
        <v>0</v>
      </c>
      <c r="F11" s="296">
        <v>1.81</v>
      </c>
      <c r="G11" s="288"/>
      <c r="H11" s="295">
        <v>83</v>
      </c>
      <c r="I11" s="295">
        <v>0</v>
      </c>
      <c r="J11" s="296">
        <v>-0.12123316736020172</v>
      </c>
      <c r="K11" s="295">
        <f>SUM(K6:K10)</f>
        <v>0</v>
      </c>
      <c r="L11" s="386"/>
    </row>
    <row r="12" spans="2:12" s="299" customFormat="1" ht="6" customHeight="1" thickBot="1">
      <c r="B12" s="393"/>
      <c r="C12" s="297"/>
      <c r="D12" s="388"/>
      <c r="E12" s="389"/>
      <c r="F12" s="390"/>
      <c r="G12" s="288"/>
      <c r="H12" s="388"/>
      <c r="I12" s="389"/>
      <c r="J12" s="390"/>
      <c r="K12" s="298"/>
      <c r="L12" s="387"/>
    </row>
    <row r="13" spans="2:12" s="293" customFormat="1" ht="27.75" customHeight="1">
      <c r="B13" s="394" t="s">
        <v>199</v>
      </c>
      <c r="C13" s="395" t="s">
        <v>262</v>
      </c>
      <c r="D13" s="395" t="str">
        <f>D4</f>
        <v>Q-IV- April to March-21</v>
      </c>
      <c r="E13" s="395"/>
      <c r="F13" s="395"/>
      <c r="G13" s="286"/>
      <c r="H13" s="395" t="str">
        <f>H4</f>
        <v>Q-IV- April to March-20</v>
      </c>
      <c r="I13" s="395"/>
      <c r="J13" s="395"/>
      <c r="K13" s="395" t="s">
        <v>278</v>
      </c>
      <c r="L13" s="397" t="s">
        <v>266</v>
      </c>
    </row>
    <row r="14" spans="2:12" ht="79.5" customHeight="1">
      <c r="B14" s="383"/>
      <c r="C14" s="396"/>
      <c r="D14" s="287" t="s">
        <v>267</v>
      </c>
      <c r="E14" s="287" t="s">
        <v>279</v>
      </c>
      <c r="F14" s="287" t="s">
        <v>269</v>
      </c>
      <c r="G14" s="288"/>
      <c r="H14" s="287" t="s">
        <v>267</v>
      </c>
      <c r="I14" s="287" t="s">
        <v>280</v>
      </c>
      <c r="J14" s="287" t="s">
        <v>269</v>
      </c>
      <c r="K14" s="396"/>
      <c r="L14" s="398"/>
    </row>
    <row r="15" spans="2:12" s="293" customFormat="1" ht="21" customHeight="1">
      <c r="B15" s="391" t="s">
        <v>281</v>
      </c>
      <c r="C15" s="289" t="s">
        <v>272</v>
      </c>
      <c r="D15" s="290">
        <v>19</v>
      </c>
      <c r="E15" s="289">
        <v>0</v>
      </c>
      <c r="F15" s="291">
        <v>8.84</v>
      </c>
      <c r="G15" s="292"/>
      <c r="H15" s="290">
        <v>20</v>
      </c>
      <c r="I15" s="289">
        <v>0</v>
      </c>
      <c r="J15" s="291">
        <v>7.6403135660046582</v>
      </c>
      <c r="K15" s="289">
        <v>0</v>
      </c>
      <c r="L15" s="385" t="s">
        <v>273</v>
      </c>
    </row>
    <row r="16" spans="2:12" s="293" customFormat="1" ht="21" customHeight="1">
      <c r="B16" s="392"/>
      <c r="C16" s="289" t="s">
        <v>274</v>
      </c>
      <c r="D16" s="290">
        <v>256</v>
      </c>
      <c r="E16" s="289">
        <v>0</v>
      </c>
      <c r="F16" s="291">
        <v>5.89</v>
      </c>
      <c r="G16" s="292"/>
      <c r="H16" s="290">
        <v>251</v>
      </c>
      <c r="I16" s="289">
        <v>0</v>
      </c>
      <c r="J16" s="291">
        <v>4.2848800328970444</v>
      </c>
      <c r="K16" s="289">
        <v>0</v>
      </c>
      <c r="L16" s="386"/>
    </row>
    <row r="17" spans="2:12" s="293" customFormat="1" ht="21" customHeight="1">
      <c r="B17" s="392"/>
      <c r="C17" s="289" t="s">
        <v>275</v>
      </c>
      <c r="D17" s="290">
        <v>46</v>
      </c>
      <c r="E17" s="289">
        <v>0</v>
      </c>
      <c r="F17" s="291">
        <v>7.15</v>
      </c>
      <c r="G17" s="292"/>
      <c r="H17" s="290">
        <v>49</v>
      </c>
      <c r="I17" s="289">
        <v>0</v>
      </c>
      <c r="J17" s="291">
        <v>5.745553930174685</v>
      </c>
      <c r="K17" s="289">
        <v>0</v>
      </c>
      <c r="L17" s="386"/>
    </row>
    <row r="18" spans="2:12" s="293" customFormat="1" ht="21" customHeight="1">
      <c r="B18" s="392"/>
      <c r="C18" s="289" t="s">
        <v>276</v>
      </c>
      <c r="D18" s="290">
        <v>37</v>
      </c>
      <c r="E18" s="289">
        <v>0</v>
      </c>
      <c r="F18" s="291">
        <v>8.31</v>
      </c>
      <c r="G18" s="292"/>
      <c r="H18" s="290">
        <v>35</v>
      </c>
      <c r="I18" s="289">
        <v>0</v>
      </c>
      <c r="J18" s="291">
        <v>4.811215249479674</v>
      </c>
      <c r="K18" s="289">
        <v>0</v>
      </c>
      <c r="L18" s="386"/>
    </row>
    <row r="19" spans="2:12" s="293" customFormat="1" ht="21" customHeight="1">
      <c r="B19" s="392"/>
      <c r="C19" s="289" t="s">
        <v>277</v>
      </c>
      <c r="D19" s="290">
        <v>46</v>
      </c>
      <c r="E19" s="289" t="s">
        <v>282</v>
      </c>
      <c r="F19" s="291">
        <v>20.05</v>
      </c>
      <c r="G19" s="292"/>
      <c r="H19" s="290">
        <v>45</v>
      </c>
      <c r="I19" s="289">
        <v>7</v>
      </c>
      <c r="J19" s="291">
        <v>19.463446610739155</v>
      </c>
      <c r="K19" s="289">
        <v>4</v>
      </c>
      <c r="L19" s="386"/>
    </row>
    <row r="20" spans="2:12" s="293" customFormat="1" ht="21" customHeight="1">
      <c r="B20" s="392"/>
      <c r="C20" s="300" t="s">
        <v>251</v>
      </c>
      <c r="D20" s="295">
        <f>SUM(D15:D19)</f>
        <v>404</v>
      </c>
      <c r="E20" s="287" t="s">
        <v>283</v>
      </c>
      <c r="F20" s="301">
        <v>8.32</v>
      </c>
      <c r="G20" s="288"/>
      <c r="H20" s="287">
        <v>400</v>
      </c>
      <c r="I20" s="287">
        <v>7</v>
      </c>
      <c r="J20" s="301">
        <v>6.6370229990345555</v>
      </c>
      <c r="K20" s="287">
        <f>SUM(K15:K19)</f>
        <v>4</v>
      </c>
      <c r="L20" s="386"/>
    </row>
    <row r="21" spans="2:12" s="299" customFormat="1" ht="14.25" customHeight="1" thickBot="1">
      <c r="B21" s="393"/>
      <c r="C21" s="302"/>
      <c r="D21" s="388" t="s">
        <v>284</v>
      </c>
      <c r="E21" s="389"/>
      <c r="F21" s="390"/>
      <c r="G21" s="303"/>
      <c r="H21" s="388"/>
      <c r="I21" s="389"/>
      <c r="J21" s="390"/>
      <c r="K21" s="298"/>
      <c r="L21" s="387"/>
    </row>
    <row r="22" spans="2:12" s="293" customFormat="1" ht="27.75" customHeight="1">
      <c r="B22" s="394" t="s">
        <v>199</v>
      </c>
      <c r="C22" s="395" t="s">
        <v>262</v>
      </c>
      <c r="D22" s="395" t="str">
        <f>D13</f>
        <v>Q-IV- April to March-21</v>
      </c>
      <c r="E22" s="395"/>
      <c r="F22" s="395"/>
      <c r="G22" s="286"/>
      <c r="H22" s="395" t="str">
        <f>H13</f>
        <v>Q-IV- April to March-20</v>
      </c>
      <c r="I22" s="395"/>
      <c r="J22" s="395"/>
      <c r="K22" s="395" t="s">
        <v>285</v>
      </c>
      <c r="L22" s="397" t="s">
        <v>266</v>
      </c>
    </row>
    <row r="23" spans="2:12" ht="79.5" customHeight="1">
      <c r="B23" s="383"/>
      <c r="C23" s="396"/>
      <c r="D23" s="287" t="s">
        <v>267</v>
      </c>
      <c r="E23" s="287" t="s">
        <v>286</v>
      </c>
      <c r="F23" s="287" t="s">
        <v>269</v>
      </c>
      <c r="G23" s="288"/>
      <c r="H23" s="287" t="s">
        <v>267</v>
      </c>
      <c r="I23" s="287" t="s">
        <v>286</v>
      </c>
      <c r="J23" s="287" t="s">
        <v>269</v>
      </c>
      <c r="K23" s="396"/>
      <c r="L23" s="398"/>
    </row>
    <row r="24" spans="2:12" s="293" customFormat="1" ht="21" customHeight="1">
      <c r="B24" s="383" t="s">
        <v>287</v>
      </c>
      <c r="C24" s="289" t="s">
        <v>272</v>
      </c>
      <c r="D24" s="290">
        <v>56</v>
      </c>
      <c r="E24" s="289">
        <v>0</v>
      </c>
      <c r="F24" s="291">
        <v>2.69</v>
      </c>
      <c r="G24" s="292"/>
      <c r="H24" s="290">
        <v>51</v>
      </c>
      <c r="I24" s="289">
        <v>0</v>
      </c>
      <c r="J24" s="291">
        <v>1.3599118894091751</v>
      </c>
      <c r="K24" s="289">
        <v>0</v>
      </c>
      <c r="L24" s="385" t="s">
        <v>273</v>
      </c>
    </row>
    <row r="25" spans="2:12" s="293" customFormat="1" ht="21" customHeight="1">
      <c r="B25" s="383"/>
      <c r="C25" s="289" t="s">
        <v>274</v>
      </c>
      <c r="D25" s="290">
        <v>3</v>
      </c>
      <c r="E25" s="289">
        <v>0</v>
      </c>
      <c r="F25" s="291">
        <v>1.48</v>
      </c>
      <c r="G25" s="292"/>
      <c r="H25" s="290">
        <v>3</v>
      </c>
      <c r="I25" s="289">
        <v>0</v>
      </c>
      <c r="J25" s="291">
        <v>1.5477577396897904</v>
      </c>
      <c r="K25" s="289">
        <v>0</v>
      </c>
      <c r="L25" s="386"/>
    </row>
    <row r="26" spans="2:12" s="293" customFormat="1" ht="21" customHeight="1">
      <c r="B26" s="383"/>
      <c r="C26" s="289" t="s">
        <v>275</v>
      </c>
      <c r="D26" s="290">
        <v>5</v>
      </c>
      <c r="E26" s="289">
        <v>0</v>
      </c>
      <c r="F26" s="291">
        <v>2.4700000000000002</v>
      </c>
      <c r="G26" s="292"/>
      <c r="H26" s="290">
        <v>5</v>
      </c>
      <c r="I26" s="289">
        <v>0</v>
      </c>
      <c r="J26" s="291">
        <v>1.6673190997279035</v>
      </c>
      <c r="K26" s="289">
        <v>0</v>
      </c>
      <c r="L26" s="386"/>
    </row>
    <row r="27" spans="2:12" s="293" customFormat="1" ht="21" customHeight="1">
      <c r="B27" s="383"/>
      <c r="C27" s="289" t="s">
        <v>276</v>
      </c>
      <c r="D27" s="290">
        <v>12</v>
      </c>
      <c r="E27" s="289">
        <v>0</v>
      </c>
      <c r="F27" s="291">
        <v>4.0199999999999996</v>
      </c>
      <c r="G27" s="292"/>
      <c r="H27" s="290">
        <v>12</v>
      </c>
      <c r="I27" s="289">
        <v>0</v>
      </c>
      <c r="J27" s="291">
        <v>-0.36361685129022214</v>
      </c>
      <c r="K27" s="289">
        <v>0</v>
      </c>
      <c r="L27" s="386"/>
    </row>
    <row r="28" spans="2:12" s="293" customFormat="1" ht="21" customHeight="1">
      <c r="B28" s="383"/>
      <c r="C28" s="289" t="s">
        <v>277</v>
      </c>
      <c r="D28" s="289">
        <v>39</v>
      </c>
      <c r="E28" s="289">
        <v>0</v>
      </c>
      <c r="F28" s="291">
        <v>-1.45</v>
      </c>
      <c r="G28" s="288"/>
      <c r="H28" s="289">
        <v>38</v>
      </c>
      <c r="I28" s="289">
        <v>0</v>
      </c>
      <c r="J28" s="291">
        <v>-0.64324028006035816</v>
      </c>
      <c r="K28" s="289">
        <v>0</v>
      </c>
      <c r="L28" s="386"/>
    </row>
    <row r="29" spans="2:12" s="293" customFormat="1" ht="21" customHeight="1">
      <c r="B29" s="383"/>
      <c r="C29" s="300" t="s">
        <v>251</v>
      </c>
      <c r="D29" s="295">
        <f>SUM(D24:D28)</f>
        <v>115</v>
      </c>
      <c r="E29" s="287">
        <f>SUM(E24:E28)</f>
        <v>0</v>
      </c>
      <c r="F29" s="301">
        <v>1.49</v>
      </c>
      <c r="G29" s="304"/>
      <c r="H29" s="287">
        <v>109</v>
      </c>
      <c r="I29" s="287">
        <v>0</v>
      </c>
      <c r="J29" s="301">
        <v>0.68595879757288492</v>
      </c>
      <c r="K29" s="287">
        <f>SUM(K24:K28)</f>
        <v>0</v>
      </c>
      <c r="L29" s="386"/>
    </row>
    <row r="30" spans="2:12" s="299" customFormat="1" ht="8.25" customHeight="1" thickBot="1">
      <c r="B30" s="384"/>
      <c r="C30" s="305"/>
      <c r="D30" s="388"/>
      <c r="E30" s="389"/>
      <c r="F30" s="390"/>
      <c r="G30" s="303"/>
      <c r="H30" s="388"/>
      <c r="I30" s="389"/>
      <c r="J30" s="390"/>
      <c r="K30" s="298"/>
      <c r="L30" s="387"/>
    </row>
    <row r="31" spans="2:12" ht="62.25" customHeight="1">
      <c r="B31" s="306"/>
      <c r="C31" s="307"/>
      <c r="D31" s="307"/>
      <c r="E31" s="307"/>
      <c r="F31" s="307"/>
      <c r="G31" s="307"/>
      <c r="H31" s="307"/>
      <c r="I31" s="307"/>
      <c r="J31" s="307"/>
      <c r="K31" s="307"/>
      <c r="L31" s="307"/>
    </row>
    <row r="32" spans="2:12" ht="86.25" customHeight="1"/>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dimension ref="B1:S14"/>
  <sheetViews>
    <sheetView topLeftCell="A7" zoomScaleSheetLayoutView="115" workbookViewId="0">
      <selection activeCell="G16" sqref="G16"/>
    </sheetView>
  </sheetViews>
  <sheetFormatPr defaultRowHeight="12.75"/>
  <cols>
    <col min="1" max="1" width="1.85546875" style="256" customWidth="1"/>
    <col min="2" max="2" width="4.7109375" style="256" customWidth="1"/>
    <col min="3" max="3" width="25.85546875" style="283" customWidth="1"/>
    <col min="4" max="4" width="5" style="256" customWidth="1"/>
    <col min="5" max="5" width="15.28515625" style="256" customWidth="1"/>
    <col min="6" max="6" width="19" style="256" customWidth="1"/>
    <col min="7" max="7" width="15.28515625" style="256" customWidth="1"/>
    <col min="8" max="8" width="15.85546875" style="256" customWidth="1"/>
    <col min="9" max="9" width="18.5703125" style="256" customWidth="1"/>
    <col min="10" max="12" width="12.5703125" style="256" customWidth="1"/>
    <col min="13" max="13" width="3" style="256" customWidth="1"/>
    <col min="14" max="17" width="12.5703125" style="256" customWidth="1"/>
    <col min="18" max="18" width="2.7109375" style="256" customWidth="1"/>
    <col min="19" max="22" width="12.5703125" style="256" customWidth="1"/>
    <col min="23" max="16384" width="9.140625" style="256"/>
  </cols>
  <sheetData>
    <row r="1" spans="2:19" ht="39" customHeight="1">
      <c r="B1" s="413" t="s">
        <v>239</v>
      </c>
      <c r="C1" s="413"/>
      <c r="D1" s="413"/>
      <c r="E1" s="413"/>
      <c r="F1" s="413"/>
      <c r="G1" s="413"/>
      <c r="H1" s="413"/>
      <c r="I1" s="413"/>
    </row>
    <row r="2" spans="2:19" ht="30.75" customHeight="1">
      <c r="B2" s="257" t="s">
        <v>240</v>
      </c>
      <c r="C2" s="258"/>
      <c r="D2" s="258"/>
      <c r="E2" s="258"/>
      <c r="F2" s="258"/>
      <c r="H2" s="258"/>
      <c r="I2" s="259" t="s">
        <v>241</v>
      </c>
    </row>
    <row r="3" spans="2:19" ht="33" customHeight="1" thickBot="1">
      <c r="B3" s="414" t="s">
        <v>242</v>
      </c>
      <c r="C3" s="414"/>
      <c r="D3" s="414"/>
      <c r="E3" s="414"/>
      <c r="F3" s="414"/>
      <c r="G3" s="414"/>
      <c r="H3" s="414"/>
      <c r="I3" s="414"/>
    </row>
    <row r="4" spans="2:19" ht="48.75" customHeight="1">
      <c r="B4" s="405" t="s">
        <v>243</v>
      </c>
      <c r="C4" s="408" t="s">
        <v>244</v>
      </c>
      <c r="D4" s="409"/>
      <c r="E4" s="260" t="s">
        <v>245</v>
      </c>
      <c r="F4" s="415" t="s">
        <v>246</v>
      </c>
      <c r="G4" s="415"/>
      <c r="H4" s="415" t="s">
        <v>247</v>
      </c>
      <c r="I4" s="416"/>
      <c r="L4" s="261"/>
    </row>
    <row r="5" spans="2:19" ht="25.5" customHeight="1">
      <c r="B5" s="406"/>
      <c r="C5" s="262" t="s">
        <v>248</v>
      </c>
      <c r="D5" s="263" t="s">
        <v>249</v>
      </c>
      <c r="E5" s="264"/>
      <c r="F5" s="417">
        <v>72557</v>
      </c>
      <c r="G5" s="417"/>
      <c r="H5" s="418">
        <v>171154</v>
      </c>
      <c r="I5" s="419"/>
      <c r="K5" s="265"/>
      <c r="L5" s="266"/>
      <c r="M5" s="266"/>
    </row>
    <row r="6" spans="2:19" ht="25.5" customHeight="1">
      <c r="B6" s="406"/>
      <c r="C6" s="262" t="s">
        <v>250</v>
      </c>
      <c r="D6" s="263" t="s">
        <v>249</v>
      </c>
      <c r="E6" s="264"/>
      <c r="F6" s="417">
        <v>19524</v>
      </c>
      <c r="G6" s="417"/>
      <c r="H6" s="418">
        <v>24046</v>
      </c>
      <c r="I6" s="419"/>
      <c r="K6" s="265"/>
      <c r="L6" s="266"/>
      <c r="M6" s="266"/>
    </row>
    <row r="7" spans="2:19" ht="25.5" customHeight="1" thickBot="1">
      <c r="B7" s="407"/>
      <c r="C7" s="267" t="s">
        <v>251</v>
      </c>
      <c r="D7" s="268" t="s">
        <v>249</v>
      </c>
      <c r="E7" s="269"/>
      <c r="F7" s="420">
        <f>SUM(F5:F6)</f>
        <v>92081</v>
      </c>
      <c r="G7" s="420"/>
      <c r="H7" s="421">
        <f>SUM(H5:H6)</f>
        <v>195200</v>
      </c>
      <c r="I7" s="422"/>
      <c r="K7" s="270"/>
    </row>
    <row r="8" spans="2:19" s="272" customFormat="1" ht="48.75" customHeight="1">
      <c r="B8" s="405" t="s">
        <v>252</v>
      </c>
      <c r="C8" s="408" t="s">
        <v>253</v>
      </c>
      <c r="D8" s="409"/>
      <c r="E8" s="260" t="s">
        <v>254</v>
      </c>
      <c r="F8" s="260" t="s">
        <v>255</v>
      </c>
      <c r="G8" s="260" t="s">
        <v>256</v>
      </c>
      <c r="H8" s="260" t="s">
        <v>257</v>
      </c>
      <c r="I8" s="271" t="s">
        <v>258</v>
      </c>
      <c r="K8" s="256"/>
      <c r="L8" s="273"/>
      <c r="M8" s="273"/>
    </row>
    <row r="9" spans="2:19" ht="25.5" customHeight="1">
      <c r="B9" s="406"/>
      <c r="C9" s="262" t="s">
        <v>248</v>
      </c>
      <c r="D9" s="263" t="s">
        <v>249</v>
      </c>
      <c r="E9" s="274">
        <v>1233</v>
      </c>
      <c r="F9" s="275">
        <f>43956+269</f>
        <v>44225</v>
      </c>
      <c r="G9" s="275">
        <f>F9+E9</f>
        <v>45458</v>
      </c>
      <c r="H9" s="275">
        <v>35590</v>
      </c>
      <c r="I9" s="276">
        <f>G9-H9</f>
        <v>9868</v>
      </c>
      <c r="L9" s="266"/>
    </row>
    <row r="10" spans="2:19" ht="25.5" customHeight="1">
      <c r="B10" s="406"/>
      <c r="C10" s="262" t="s">
        <v>250</v>
      </c>
      <c r="D10" s="263" t="s">
        <v>249</v>
      </c>
      <c r="E10" s="274">
        <v>169</v>
      </c>
      <c r="F10" s="275">
        <v>9830</v>
      </c>
      <c r="G10" s="275">
        <f>F10+E10</f>
        <v>9999</v>
      </c>
      <c r="H10" s="275">
        <v>7183</v>
      </c>
      <c r="I10" s="276">
        <f>G10-H10</f>
        <v>2816</v>
      </c>
      <c r="L10" s="266"/>
    </row>
    <row r="11" spans="2:19" ht="25.5" customHeight="1" thickBot="1">
      <c r="B11" s="407"/>
      <c r="C11" s="267" t="s">
        <v>251</v>
      </c>
      <c r="D11" s="268" t="s">
        <v>249</v>
      </c>
      <c r="E11" s="277">
        <f>E9+E10</f>
        <v>1402</v>
      </c>
      <c r="F11" s="277">
        <f>F9+F10</f>
        <v>54055</v>
      </c>
      <c r="G11" s="277">
        <f t="shared" ref="G11:I11" si="0">SUM(G9:G10)</f>
        <v>55457</v>
      </c>
      <c r="H11" s="277">
        <f t="shared" si="0"/>
        <v>42773</v>
      </c>
      <c r="I11" s="278">
        <f t="shared" si="0"/>
        <v>12684</v>
      </c>
    </row>
    <row r="12" spans="2:19" s="279" customFormat="1" ht="50.25" customHeight="1" thickBot="1">
      <c r="B12" s="410" t="s">
        <v>259</v>
      </c>
      <c r="C12" s="411"/>
      <c r="D12" s="411"/>
      <c r="E12" s="411"/>
      <c r="F12" s="411"/>
      <c r="G12" s="411"/>
      <c r="H12" s="411"/>
      <c r="I12" s="412"/>
    </row>
    <row r="13" spans="2:19" s="279" customFormat="1" ht="30" customHeight="1">
      <c r="B13" s="280"/>
      <c r="C13" s="280"/>
      <c r="D13" s="280"/>
      <c r="E13" s="280"/>
      <c r="F13" s="280"/>
      <c r="G13" s="280"/>
      <c r="H13" s="280"/>
      <c r="I13" s="280"/>
    </row>
    <row r="14" spans="2:19" s="272" customFormat="1">
      <c r="C14" s="281"/>
      <c r="N14" s="282"/>
      <c r="S14" s="282"/>
    </row>
  </sheetData>
  <mergeCells count="15">
    <mergeCell ref="B8:B11"/>
    <mergeCell ref="C8:D8"/>
    <mergeCell ref="B12:I12"/>
    <mergeCell ref="B1:I1"/>
    <mergeCell ref="B3:I3"/>
    <mergeCell ref="B4:B7"/>
    <mergeCell ref="C4:D4"/>
    <mergeCell ref="F4:G4"/>
    <mergeCell ref="H4:I4"/>
    <mergeCell ref="F5:G5"/>
    <mergeCell ref="H5:I5"/>
    <mergeCell ref="F6:G6"/>
    <mergeCell ref="H6:I6"/>
    <mergeCell ref="F7:G7"/>
    <mergeCell ref="H7:I7"/>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LAB</vt:lpstr>
      <vt:lpstr>Sheet1</vt:lpstr>
      <vt:lpstr>LAB!Print_Area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mgvcl</dc:creator>
  <cp:lastModifiedBy>ujparikh3442</cp:lastModifiedBy>
  <cp:lastPrinted>2021-07-05T08:34:28Z</cp:lastPrinted>
  <dcterms:created xsi:type="dcterms:W3CDTF">1996-10-14T23:33:28Z</dcterms:created>
  <dcterms:modified xsi:type="dcterms:W3CDTF">2021-07-12T08:36:51Z</dcterms:modified>
</cp:coreProperties>
</file>