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15345" windowHeight="6495" activeTab="8"/>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5" r:id="rId8"/>
    <sheet name="LAB" sheetId="36" r:id="rId9"/>
    <sheet name="Sheet1" sheetId="34" state="hidden" r:id="rId10"/>
  </sheets>
  <externalReferences>
    <externalReference r:id="rId11"/>
    <externalReference r:id="rId12"/>
    <externalReference r:id="rId13"/>
    <externalReference r:id="rId14"/>
    <externalReference r:id="rId15"/>
    <externalReference r:id="rId16"/>
  </externalReferences>
  <definedNames>
    <definedName name="_131" hidden="1">[1]zpF0001!$O$149:$O$158</definedName>
    <definedName name="_132" hidden="1">[1]zpF0001!$A$39:$CB$78</definedName>
    <definedName name="_brh1" hidden="1">{"'Sheet1'!$A$4386:$N$4591"}</definedName>
    <definedName name="_Dist_Bin" localSheetId="7" hidden="1">#REF!</definedName>
    <definedName name="_Dist_Bin" hidden="1">#REF!</definedName>
    <definedName name="_Dist_Values" localSheetId="7"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_4">[2]shp_T_D_drive!$A$1:$AE$31</definedName>
    <definedName name="a_5">[3]shp_T_D_drive!$A$1:$AE$31</definedName>
    <definedName name="a_6">[3]shp_T_D_drive!$A$1:$AE$31</definedName>
    <definedName name="a_8">[2]shp_T_D_drive!$A$1:$AE$31</definedName>
    <definedName name="a_9">[2]shp_T_D_drive!$A$1:$AE$31</definedName>
    <definedName name="aa_4">[2]shp_T_D_drive!$A$1:$AE$31</definedName>
    <definedName name="aa_5">[3]shp_T_D_drive!$A$1:$AE$31</definedName>
    <definedName name="aa_6">[3]shp_T_D_drive!$A$1:$AE$31</definedName>
    <definedName name="aa_8">[2]shp_T_D_drive!$A$1:$AE$31</definedName>
    <definedName name="aa_9">[2]shp_T_D_drive!$A$1:$AE$31</definedName>
    <definedName name="aaaa" localSheetId="7" hidden="1">#REF!</definedName>
    <definedName name="aaaa" hidden="1">#REF!</definedName>
    <definedName name="ann" hidden="1">{"'Sheet1'!$A$4386:$N$4591"}</definedName>
    <definedName name="AprilMay" hidden="1">{"'Sheet1'!$A$4386:$N$4591"}</definedName>
    <definedName name="as_4">[2]shp_T_D_drive!$A$1:$AE$31</definedName>
    <definedName name="as_5">[3]shp_T_D_drive!$A$1:$AE$31</definedName>
    <definedName name="as_6">[3]shp_T_D_drive!$A$1:$AE$31</definedName>
    <definedName name="as_8">[2]shp_T_D_drive!$A$1:$AE$31</definedName>
    <definedName name="as_9">[2]shp_T_D_drive!$A$1:$AE$31</definedName>
    <definedName name="brh" hidden="1">{"'Sheet1'!$A$4386:$N$4591"}</definedName>
    <definedName name="_xlnm.Database" localSheetId="8">#REF!</definedName>
    <definedName name="_xlnm.Database">#REF!</definedName>
    <definedName name="detail">[2]shp_T_D_drive!$A$1:$AE$31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'[4]mpmla wise pp0001'!$A$166:$A$172</definedName>
    <definedName name="po" hidden="1">[5]zpF0001!$E$39:$E$78</definedName>
    <definedName name="_xlnm.Print_Area" localSheetId="8">LAB!$B$1:$I$12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'T&amp;D'!$B$1:$L$30</definedName>
    <definedName name="q_4">[6]shp_T_D_drive!$A$1:$AE$31</definedName>
    <definedName name="q_5">[5]shp_T_D_drive!$A$1:$AE$31</definedName>
    <definedName name="q_6">[5]shp_T_D_drive!$A$1:$AE$31</definedName>
    <definedName name="q_8">[6]shp_T_D_drive!$A$1:$AE$31</definedName>
    <definedName name="q_9">[6]shp_T_D_drive!$A$1:$AE$31</definedName>
    <definedName name="ss_4">[2]shp_T_D_drive!$A$1:$AE$31</definedName>
    <definedName name="ss_5">[3]shp_T_D_drive!$A$1:$AE$31</definedName>
    <definedName name="ss_6">[3]shp_T_D_drive!$A$1:$AE$31</definedName>
    <definedName name="ss_8">[2]shp_T_D_drive!$A$1:$AE$31</definedName>
    <definedName name="ss_9">[2]shp_T_D_drive!$A$1:$AE$31</definedName>
    <definedName name="t_4">[2]shp_T_D_drive!$A$1:$AE$31</definedName>
    <definedName name="t_5">[3]shp_T_D_drive!$A$1:$AE$31</definedName>
    <definedName name="t_6">[3]shp_T_D_drive!$A$1:$AE$31</definedName>
    <definedName name="t_8">[2]shp_T_D_drive!$A$1:$AE$31</definedName>
    <definedName name="t_9">[2]shp_T_D_drive!$A$1:$AE$31</definedName>
    <definedName name="uyuy" localSheetId="7" hidden="1">#REF!</definedName>
    <definedName name="uyuy" hidden="1">#REF!</definedName>
  </definedNames>
  <calcPr calcId="124519"/>
</workbook>
</file>

<file path=xl/calcChain.xml><?xml version="1.0" encoding="utf-8"?>
<calcChain xmlns="http://schemas.openxmlformats.org/spreadsheetml/2006/main">
  <c r="H11" i="36"/>
  <c r="F11"/>
  <c r="E11"/>
  <c r="G10"/>
  <c r="I10" s="1"/>
  <c r="G9"/>
  <c r="I9" s="1"/>
  <c r="I11" s="1"/>
  <c r="H7"/>
  <c r="F7"/>
  <c r="G11" l="1"/>
  <c r="K29" i="35" l="1"/>
  <c r="E29"/>
  <c r="D29"/>
  <c r="K20"/>
  <c r="E20"/>
  <c r="D20"/>
  <c r="H13"/>
  <c r="H22" s="1"/>
  <c r="D13"/>
  <c r="D22" s="1"/>
  <c r="K11"/>
  <c r="D11"/>
  <c r="D23" i="32" l="1"/>
  <c r="E23" s="1"/>
  <c r="D22"/>
  <c r="E22" s="1"/>
  <c r="E21"/>
  <c r="E19"/>
  <c r="E18"/>
  <c r="E16"/>
  <c r="E15"/>
  <c r="E14"/>
  <c r="E17" s="1"/>
  <c r="D14"/>
  <c r="D17" s="1"/>
  <c r="E32" i="30"/>
  <c r="D32"/>
  <c r="E17"/>
  <c r="D17"/>
  <c r="D24" i="32" l="1"/>
  <c r="E24" s="1"/>
  <c r="E35" i="24"/>
  <c r="D35"/>
  <c r="E32"/>
  <c r="C19" i="31"/>
  <c r="C11"/>
  <c r="D23" i="33"/>
  <c r="D21"/>
  <c r="D19"/>
  <c r="D18"/>
  <c r="D14"/>
  <c r="D38" i="32"/>
  <c r="D36"/>
  <c r="D34"/>
  <c r="D33"/>
  <c r="D29"/>
  <c r="D32" i="26"/>
  <c r="D28"/>
  <c r="D27"/>
  <c r="D25"/>
  <c r="D22"/>
  <c r="D21"/>
  <c r="D20"/>
  <c r="D19"/>
  <c r="D18"/>
  <c r="D17"/>
  <c r="D16"/>
  <c r="D15"/>
  <c r="D27" i="24"/>
  <c r="D17"/>
  <c r="G32" i="30"/>
  <c r="F32"/>
  <c r="G17"/>
  <c r="F17"/>
  <c r="F38" i="32"/>
  <c r="F36"/>
  <c r="F34"/>
  <c r="F33"/>
  <c r="F29"/>
  <c r="G23"/>
  <c r="F23"/>
  <c r="G21"/>
  <c r="G19"/>
  <c r="G18"/>
  <c r="G17"/>
  <c r="F17"/>
  <c r="G14"/>
  <c r="F32" i="26"/>
  <c r="F28"/>
  <c r="F27"/>
  <c r="F26"/>
  <c r="F25"/>
  <c r="F22"/>
  <c r="F21"/>
  <c r="F20"/>
  <c r="F19"/>
  <c r="F18"/>
  <c r="F17"/>
  <c r="F16"/>
  <c r="F15"/>
  <c r="F35" i="24"/>
  <c r="F32"/>
  <c r="G32"/>
  <c r="F23" i="33"/>
  <c r="F21"/>
  <c r="F19"/>
  <c r="F18"/>
  <c r="F14"/>
  <c r="D25" i="32" l="1"/>
  <c r="E25" s="1"/>
  <c r="C12" i="31"/>
  <c r="G37" i="32" l="1"/>
  <c r="G39" s="1"/>
  <c r="G32"/>
  <c r="G30"/>
  <c r="F32"/>
  <c r="F22"/>
  <c r="F24" s="1"/>
  <c r="G24" s="1"/>
  <c r="G22" i="33"/>
  <c r="G24" s="1"/>
  <c r="F22"/>
  <c r="F24" s="1"/>
  <c r="G17"/>
  <c r="F17"/>
  <c r="F25" i="32" l="1"/>
  <c r="G25" s="1"/>
  <c r="G22"/>
  <c r="F37"/>
  <c r="F39" s="1"/>
  <c r="E26" i="31"/>
  <c r="G16" i="26"/>
  <c r="G40" i="32" l="1"/>
  <c r="F25" i="33"/>
  <c r="F25" i="24"/>
  <c r="F26" s="1"/>
  <c r="F28" s="1"/>
  <c r="F29" s="1"/>
  <c r="G22"/>
  <c r="G25" s="1"/>
  <c r="G26" s="1"/>
  <c r="G28" s="1"/>
  <c r="G29" s="1"/>
  <c r="F22"/>
  <c r="D33" i="31"/>
  <c r="D15"/>
  <c r="G25" i="33" l="1"/>
  <c r="D35" i="31"/>
  <c r="F40" i="32"/>
  <c r="E25" i="26" l="1"/>
  <c r="G25"/>
  <c r="G21"/>
  <c r="I25" l="1"/>
  <c r="F38" i="33"/>
  <c r="F29"/>
  <c r="H25" i="26" l="1"/>
  <c r="G17" l="1"/>
  <c r="G18"/>
  <c r="G19"/>
  <c r="G20"/>
  <c r="G53" i="30" l="1"/>
  <c r="G51"/>
  <c r="G49"/>
  <c r="G48"/>
  <c r="G44"/>
  <c r="D53"/>
  <c r="D51"/>
  <c r="D49"/>
  <c r="D48"/>
  <c r="E49"/>
  <c r="E48"/>
  <c r="E53"/>
  <c r="E51"/>
  <c r="G28" i="26" l="1"/>
  <c r="G27"/>
  <c r="G22"/>
  <c r="G38" i="33"/>
  <c r="G36"/>
  <c r="G34"/>
  <c r="G33"/>
  <c r="E16" i="26"/>
  <c r="E28" l="1"/>
  <c r="E27"/>
  <c r="E26"/>
  <c r="D26" s="1"/>
  <c r="E22"/>
  <c r="E21"/>
  <c r="E20"/>
  <c r="E19"/>
  <c r="E18"/>
  <c r="E17"/>
  <c r="E22" i="33"/>
  <c r="E24" s="1"/>
  <c r="D29" i="26" l="1"/>
  <c r="E29"/>
  <c r="H22"/>
  <c r="I22"/>
  <c r="F34"/>
  <c r="G29" i="33"/>
  <c r="G31"/>
  <c r="F33"/>
  <c r="F34"/>
  <c r="F36"/>
  <c r="G37" i="24"/>
  <c r="F37"/>
  <c r="G54" i="30" l="1"/>
  <c r="G52"/>
  <c r="G39" i="33"/>
  <c r="G37"/>
  <c r="F23" i="26"/>
  <c r="F30" s="1"/>
  <c r="G23"/>
  <c r="G30" s="1"/>
  <c r="F32" i="33"/>
  <c r="G47" i="30"/>
  <c r="F37" i="33" l="1"/>
  <c r="F39"/>
  <c r="G55" i="30"/>
  <c r="G32" i="33"/>
  <c r="F34" i="24" l="1"/>
  <c r="F38" s="1"/>
  <c r="G34"/>
  <c r="G38" s="1"/>
  <c r="G40" i="33"/>
  <c r="G26" i="26" l="1"/>
  <c r="D25" i="24"/>
  <c r="F29" i="26" l="1"/>
  <c r="H29" s="1"/>
  <c r="G29"/>
  <c r="I29" s="1"/>
  <c r="D26" i="24"/>
  <c r="F14" i="25"/>
  <c r="F14" i="26" s="1"/>
  <c r="F13" i="32" s="1"/>
  <c r="F13" i="33" s="1"/>
  <c r="F13" i="30" s="1"/>
  <c r="D14" i="25"/>
  <c r="D14" i="26" s="1"/>
  <c r="D13" i="32" s="1"/>
  <c r="D13" i="33" s="1"/>
  <c r="D13" i="30" s="1"/>
  <c r="F21" i="25" l="1"/>
  <c r="G21"/>
  <c r="G16"/>
  <c r="F16"/>
  <c r="E34" i="26" l="1"/>
  <c r="E33"/>
  <c r="E30" i="32" l="1"/>
  <c r="D28" i="24"/>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D32" i="24"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I27" i="24"/>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N32"/>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H35" s="1"/>
  <c r="H32"/>
  <c r="H40" i="33"/>
  <c r="D26" i="25"/>
  <c r="H26" s="1"/>
  <c r="D37" i="24" l="1"/>
  <c r="H37" s="1"/>
  <c r="H34"/>
  <c r="E34"/>
  <c r="I32"/>
  <c r="E37" l="1"/>
  <c r="I37" s="1"/>
  <c r="I35"/>
  <c r="D38"/>
  <c r="H38" s="1"/>
  <c r="I34"/>
  <c r="E38" l="1"/>
  <c r="I38" s="1"/>
</calcChain>
</file>

<file path=xl/sharedStrings.xml><?xml version="1.0" encoding="utf-8"?>
<sst xmlns="http://schemas.openxmlformats.org/spreadsheetml/2006/main" count="657" uniqueCount="287">
  <si>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</si>
  <si>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</si>
  <si>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</si>
  <si>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</si>
  <si>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</si>
  <si>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</si>
  <si>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</si>
  <si>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</si>
  <si>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</si>
  <si>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</si>
  <si>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</si>
  <si>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</si>
  <si>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</si>
  <si>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</si>
  <si>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</si>
  <si>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</si>
  <si>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</si>
  <si>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</si>
  <si>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</si>
  <si>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</si>
  <si>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</si>
  <si>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</si>
  <si>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</si>
  <si>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</si>
  <si>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</si>
  <si>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</si>
  <si>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</si>
  <si>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</si>
  <si>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</si>
  <si>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</si>
  <si>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</si>
  <si>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</si>
  <si>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</si>
  <si>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</si>
  <si>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</si>
  <si>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</si>
  <si>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</si>
  <si>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</si>
  <si>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</si>
  <si>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</si>
  <si>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</si>
  <si>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</si>
  <si>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</si>
  <si>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</si>
  <si>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</si>
  <si>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</si>
  <si>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</si>
  <si>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</si>
  <si>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</si>
  <si>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</si>
  <si>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</si>
  <si>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</si>
  <si>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</si>
  <si>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</si>
  <si>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</si>
  <si>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</si>
  <si>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</si>
  <si>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</si>
  <si>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</si>
  <si>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</si>
  <si>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</si>
  <si>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</si>
  <si>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</si>
  <si>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</si>
  <si>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</si>
  <si>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</si>
  <si>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</si>
  <si>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</si>
  <si>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</si>
  <si>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</si>
  <si>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</si>
  <si>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</si>
  <si>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</si>
  <si>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</si>
  <si>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</si>
  <si>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</si>
  <si>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</si>
  <si>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</si>
  <si>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</si>
  <si>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</si>
  <si>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</si>
  <si>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</si>
  <si>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</si>
  <si>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</si>
  <si>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</si>
  <si>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</si>
  <si>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</si>
  <si>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</si>
  <si>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</si>
  <si>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</si>
  <si>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</si>
  <si>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</si>
  <si>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</si>
  <si>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</si>
  <si>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</si>
  <si>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</si>
  <si>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</si>
  <si>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</si>
  <si>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</si>
  <si>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</si>
  <si>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</si>
  <si>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</si>
  <si>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</si>
  <si>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</si>
  <si>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</si>
  <si>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</si>
  <si>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</si>
  <si>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</si>
  <si>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</si>
  <si>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</si>
  <si>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</si>
  <si>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</si>
  <si>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</si>
  <si>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</si>
  <si>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</si>
  <si>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</si>
  <si>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</si>
  <si>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</si>
  <si>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</si>
  <si>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</si>
  <si>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</si>
  <si>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</si>
  <si>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</si>
  <si>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</si>
  <si>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</si>
  <si>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</si>
  <si>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</si>
  <si>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</si>
  <si>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</si>
  <si>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</si>
  <si>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</si>
  <si>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</si>
  <si>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</si>
  <si>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</si>
  <si>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</si>
  <si>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</si>
  <si>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</si>
  <si>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</si>
  <si>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</si>
  <si>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</si>
  <si>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</si>
  <si>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</si>
  <si>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</si>
  <si>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</si>
  <si>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</si>
  <si>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</si>
  <si>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</si>
  <si>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</si>
  <si>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</si>
  <si>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</si>
  <si>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</si>
  <si>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</si>
  <si>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</si>
  <si>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</si>
  <si>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</si>
  <si>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</si>
  <si>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</si>
  <si>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</si>
  <si>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</si>
  <si>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</si>
  <si>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</si>
  <si>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</si>
  <si>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</si>
  <si>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</si>
  <si>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</si>
  <si>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</si>
  <si>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</si>
  <si>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</si>
  <si>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</si>
  <si>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</si>
  <si>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</si>
  <si>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</si>
  <si>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</si>
  <si>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</si>
  <si>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</si>
  <si>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</si>
  <si>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</si>
  <si>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</si>
  <si>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</si>
  <si>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</si>
  <si>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</si>
  <si>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</si>
  <si>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</si>
  <si>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</si>
  <si>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</si>
  <si>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</si>
  <si>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</si>
  <si>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</si>
  <si>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</si>
  <si>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</si>
  <si>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</si>
  <si>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</si>
  <si>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</si>
  <si>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</si>
  <si>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</si>
  <si>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</si>
  <si>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</si>
  <si>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</si>
  <si>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</si>
  <si>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</si>
  <si>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</si>
  <si>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</si>
  <si>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</si>
  <si>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</si>
  <si>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</si>
  <si>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</si>
  <si>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</si>
  <si>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</si>
  <si>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</si>
  <si>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</si>
  <si>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</si>
  <si>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</si>
  <si>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</si>
  <si>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</si>
  <si>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</si>
  <si>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</si>
  <si>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</si>
  <si>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</si>
  <si>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</si>
  <si>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</si>
  <si>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</si>
  <si>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</si>
  <si>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</si>
  <si>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</si>
  <si>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</si>
  <si>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</si>
  <si>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</si>
  <si>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</si>
  <si>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</si>
  <si>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</si>
  <si>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</si>
  <si>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</si>
  <si>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</si>
  <si>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</si>
  <si>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</si>
  <si>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April toDec-21</t>
  </si>
  <si>
    <t>April to Dec-20</t>
  </si>
  <si>
    <t>Oct-2021 to Dec-2021</t>
  </si>
  <si>
    <t>Oct-2020 to Dec-2020</t>
  </si>
  <si>
    <t>MGVCL  -  V  -  DISTRIBUTION - KEY DATA</t>
  </si>
  <si>
    <t xml:space="preserve">Action plan for reducing T&amp;D losses in Urban, Industrial and GIDC feeders      </t>
  </si>
  <si>
    <t>Circle</t>
  </si>
  <si>
    <t>Q-III-Oct to Dec-21</t>
  </si>
  <si>
    <t>Q-III-Oct to Dec-20</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</si>
  <si>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</si>
  <si>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</si>
  <si>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</si>
  <si>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</si>
  <si>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</si>
  <si>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</si>
  <si>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</si>
  <si>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</si>
  <si>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2+1*</t>
  </si>
  <si>
    <t>Various steps are being taken to reduce the losses of feeder having high losses</t>
  </si>
  <si>
    <t>Baroda City</t>
  </si>
  <si>
    <t>Anand</t>
  </si>
  <si>
    <t>Nadiad</t>
  </si>
  <si>
    <t>Godhra</t>
  </si>
  <si>
    <t>Total</t>
  </si>
  <si>
    <t>* Newly created feeders</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</si>
  <si>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</si>
  <si>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</si>
  <si>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</si>
  <si>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</si>
  <si>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</si>
  <si>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t>
    </r>
  </si>
  <si>
    <t>IND</t>
  </si>
  <si>
    <t>MGVCL</t>
  </si>
  <si>
    <t>V  -   DISTRIBUTION - KEY DATA</t>
  </si>
  <si>
    <t>FY 2021-22 Q-III (Oct-Nov-Dec-21)</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</si>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</sst>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numFmts count="26">
    <numFmt numFmtId="43" formatCode="_(* #,##0.00_);_(* \(#,##0.00\);_(* &quot;-&quot;??_);_(@_)"/>
    <numFmt numFmtId="164" formatCode="0.000"/>
    <numFmt numFmtId="165" formatCode="0.0000"/>
    <numFmt numFmtId="166" formatCode="\$#,##0_);&quot;($&quot;#,##0\)"/>
    <numFmt numFmtId="167" formatCode="#,##0&quot; грн.&quot;;\-#,##0&quot; грн.&quot;"/>
    <numFmt numFmtId="168" formatCode="\£#,##0;&quot;-£&quot;#,##0"/>
    <numFmt numFmtId="169" formatCode="\\#,##0.00;[Red]&quot;-\&quot;#,##0.00"/>
    <numFmt numFmtId="170" formatCode="_(* #,##0_);_(* \(#,##0\);_(* \-??_);_(@_)"/>
    <numFmt numFmtId="171" formatCode="&quot;грн.&quot;#,##0.00;[Red]&quot;-грн.&quot;#,##0.00"/>
    <numFmt numFmtId="172" formatCode="_-&quot;грн.&quot;* #,##0.00_-;&quot;-грн.&quot;* #,##0.00_-;_-&quot;грн.&quot;* \-??_-;_-@_-"/>
    <numFmt numFmtId="173" formatCode="\\#,##0.00;[Red]&quot;\-&quot;#,##0.00"/>
    <numFmt numFmtId="174" formatCode="_ * #,##0.00_ ;_ * \-#,##0.00_ ;_ * \-??_ ;_ @_ "/>
    <numFmt numFmtId="175" formatCode="\$#,##0.00;[Red]&quot;-$&quot;#,##0.00"/>
    <numFmt numFmtId="176" formatCode="\£#,##0.00;[Red]&quot;-£&quot;#,##0.00"/>
    <numFmt numFmtId="177" formatCode="0_)"/>
    <numFmt numFmtId="178" formatCode="_ * #,##0_ ;_ * \-#,##0_ ;_ * \-_ ;_ @_ "/>
    <numFmt numFmtId="179" formatCode="_-* #,##0.00&quot; €&quot;_-;\-* #,##0.00&quot; €&quot;_-;_-* \-??&quot; €&quot;_-;_-@_-"/>
    <numFmt numFmtId="180" formatCode="#,##0.0"/>
    <numFmt numFmtId="181" formatCode="_-* #,##0\ _F_-;\-* #,##0\ _F_-;_-* &quot;- &quot;_F_-;_-@_-"/>
    <numFmt numFmtId="182" formatCode="_-* #,##0.00\ _F_-;\-* #,##0.00\ _F_-;_-* \-??\ _F_-;_-@_-"/>
    <numFmt numFmtId="183" formatCode="_ &quot;Fr. &quot;* #,##0_ ;_ &quot;Fr. &quot;* \-#,##0_ ;_ &quot;Fr. &quot;* \-_ ;_ @_ "/>
    <numFmt numFmtId="184" formatCode="_ &quot;Fr. &quot;* #,##0.00_ ;_ &quot;Fr. &quot;* \-#,##0.00_ ;_ &quot;Fr. &quot;* \-??_ ;_ @_ "/>
    <numFmt numFmtId="185" formatCode="_-\$* #,##0_-;&quot;-$&quot;* #,##0_-;_-\$* \-_-;_-@_-"/>
    <numFmt numFmtId="186" formatCode="_-\$* #,##0.00_-;&quot;-$&quot;* #,##0.00_-;_-\$* \-??_-;_-@_-"/>
    <numFmt numFmtId="187" formatCode="\\#,##0;[Red]&quot;\-&quot;#,##0"/>
    <numFmt numFmtId="188" formatCode="[$-409]mmm\-yy;@"/>
  </numFmts>
  <fonts count="89">
    <font>
      <sz val="10"/>
      <name val="Arial"/>
    </font>
    <font>
      <sz val="11"/>
      <color theme="1"/>
      <name val="Calibri"/>
      <family val="2"/>
      <scheme val="minor"/>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color theme="1"/>
      <name val="Leelawadee"/>
      <family val="2"/>
    </font>
    <font>
      <b/>
      <sz val="10"/>
      <name val="Leelawadee"/>
      <family val="2"/>
    </font>
    <font>
      <b/>
      <sz val="12"/>
      <name val="Leelawadee"/>
      <family val="2"/>
    </font>
    <font>
      <b/>
      <sz val="10"/>
      <color rgb="FFFF0000"/>
      <name val="Leelawadee"/>
      <family val="2"/>
    </font>
    <font>
      <sz val="10"/>
      <name val="Leelawadee"/>
      <family val="2"/>
    </font>
    <font>
      <b/>
      <sz val="10"/>
      <color theme="1"/>
      <name val="Leelawadee"/>
      <family val="2"/>
    </font>
    <font>
      <sz val="8"/>
      <color theme="1"/>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
      <b/>
      <sz val="24"/>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
      <u/>
      <sz val="10"/>
      <color indexed="12"/>
      <name val="Arial"/>
      <family val="2"/>
    </font>
  </fonts>
  <fills count="10">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
      <patternFill patternType="solid">
        <fgColor theme="3" tint="0.79998168889431442"/>
        <bgColor indexed="64"/>
      </patternFill>
    </fill>
    <fill>
      <patternFill patternType="solid">
        <fgColor theme="6" tint="0.59999389629810485"/>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s>
  <cellStyleXfs count="2537">
    <xf numFmtId="0" fontId="0" fillId="0" borderId="0"/>
    <xf numFmtId="0" fontId="7" fillId="0" borderId="0"/>
    <xf numFmtId="9" fontId="43" fillId="0" borderId="0" applyFont="0" applyFill="0" applyBorder="0" applyAlignment="0" applyProtection="0"/>
    <xf numFmtId="9" fontId="7" fillId="0" borderId="0" applyFont="0" applyFill="0" applyBorder="0" applyAlignment="0" applyProtection="0"/>
    <xf numFmtId="0" fontId="2"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6" fillId="0" borderId="0"/>
    <xf numFmtId="0" fontId="54" fillId="0" borderId="0" applyFill="0" applyBorder="0">
      <alignment vertical="top"/>
    </xf>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3" fontId="57" fillId="0" borderId="0"/>
    <xf numFmtId="3" fontId="58" fillId="0" borderId="0"/>
    <xf numFmtId="3" fontId="58" fillId="0" borderId="0"/>
    <xf numFmtId="0" fontId="59" fillId="0" borderId="0" applyNumberFormat="0" applyFill="0" applyBorder="0" applyAlignment="0" applyProtection="0"/>
    <xf numFmtId="166" fontId="60" fillId="0" borderId="44" applyAlignment="0" applyProtection="0"/>
    <xf numFmtId="167" fontId="60" fillId="0" borderId="44" applyAlignment="0" applyProtection="0"/>
    <xf numFmtId="168" fontId="60" fillId="0" borderId="44" applyAlignment="0" applyProtection="0"/>
    <xf numFmtId="167" fontId="60" fillId="0" borderId="44" applyAlignment="0" applyProtection="0"/>
    <xf numFmtId="0" fontId="61" fillId="0" borderId="0"/>
    <xf numFmtId="0" fontId="61" fillId="0" borderId="0"/>
    <xf numFmtId="0" fontId="61"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70" fontId="7" fillId="0" borderId="0" applyFill="0" applyBorder="0" applyAlignment="0" applyProtection="0"/>
    <xf numFmtId="43" fontId="62" fillId="0" borderId="0" applyFont="0" applyFill="0" applyBorder="0" applyAlignment="0" applyProtection="0"/>
    <xf numFmtId="164" fontId="7" fillId="0" borderId="0" applyFill="0" applyBorder="0" applyAlignment="0" applyProtection="0"/>
    <xf numFmtId="171" fontId="7" fillId="0" borderId="0" applyFill="0" applyBorder="0" applyAlignment="0" applyProtection="0"/>
    <xf numFmtId="172" fontId="7" fillId="0" borderId="0" applyFill="0" applyBorder="0" applyAlignment="0" applyProtection="0"/>
    <xf numFmtId="173" fontId="7" fillId="0" borderId="0" applyFill="0" applyBorder="0" applyAlignment="0" applyProtection="0"/>
    <xf numFmtId="170" fontId="7" fillId="0" borderId="0" applyFill="0" applyBorder="0" applyAlignment="0" applyProtection="0"/>
    <xf numFmtId="174" fontId="7" fillId="0" borderId="0" applyFill="0" applyBorder="0" applyAlignment="0" applyProtection="0"/>
    <xf numFmtId="170" fontId="7" fillId="0" borderId="0" applyFill="0" applyBorder="0" applyAlignment="0" applyProtection="0"/>
    <xf numFmtId="170" fontId="7" fillId="0" borderId="0" applyFill="0" applyBorder="0" applyAlignment="0" applyProtection="0"/>
    <xf numFmtId="170"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175" fontId="7" fillId="0" borderId="0" applyFill="0" applyBorder="0" applyAlignment="0" applyProtection="0"/>
    <xf numFmtId="171" fontId="7" fillId="0" borderId="0" applyFill="0" applyBorder="0" applyAlignment="0" applyProtection="0"/>
    <xf numFmtId="176" fontId="7" fillId="0" borderId="0" applyFill="0" applyBorder="0" applyAlignment="0" applyProtection="0"/>
    <xf numFmtId="171" fontId="7" fillId="0" borderId="0" applyFill="0" applyBorder="0" applyAlignment="0" applyProtection="0"/>
    <xf numFmtId="177" fontId="63" fillId="0" borderId="0">
      <alignment vertical="center"/>
    </xf>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0" fontId="64" fillId="0" borderId="0">
      <alignment horizontal="center" vertical="center" wrapText="1"/>
    </xf>
    <xf numFmtId="178" fontId="7" fillId="0" borderId="0" applyFill="0" applyBorder="0" applyAlignment="0" applyProtection="0"/>
    <xf numFmtId="174" fontId="7" fillId="0" borderId="0" applyFill="0" applyBorder="0" applyAlignment="0" applyProtection="0"/>
    <xf numFmtId="179" fontId="7" fillId="0" borderId="0" applyFill="0" applyBorder="0" applyAlignment="0" applyProtection="0"/>
    <xf numFmtId="179" fontId="7" fillId="0" borderId="0" applyFill="0" applyBorder="0" applyAlignment="0" applyProtection="0"/>
    <xf numFmtId="179" fontId="7" fillId="0" borderId="0" applyFill="0" applyBorder="0" applyAlignment="0" applyProtection="0"/>
    <xf numFmtId="179" fontId="7" fillId="0" borderId="0" applyFill="0" applyBorder="0" applyAlignment="0" applyProtection="0"/>
    <xf numFmtId="0" fontId="7" fillId="0" borderId="0"/>
    <xf numFmtId="2" fontId="7" fillId="0" borderId="0" applyFill="0" applyBorder="0" applyAlignment="0" applyProtection="0"/>
    <xf numFmtId="2" fontId="7" fillId="0" borderId="0" applyFill="0" applyBorder="0" applyAlignment="0" applyProtection="0"/>
    <xf numFmtId="2" fontId="7" fillId="0" borderId="0" applyFill="0" applyBorder="0" applyAlignment="0" applyProtection="0"/>
    <xf numFmtId="180" fontId="65" fillId="0" borderId="45">
      <alignment horizontal="right"/>
    </xf>
    <xf numFmtId="180" fontId="65" fillId="0" borderId="45">
      <alignment horizontal="right"/>
    </xf>
    <xf numFmtId="180" fontId="65" fillId="0" borderId="45">
      <alignment horizontal="right"/>
    </xf>
    <xf numFmtId="180" fontId="65" fillId="0" borderId="45">
      <alignment horizontal="right"/>
    </xf>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66" fillId="4" borderId="0"/>
    <xf numFmtId="0" fontId="67" fillId="0" borderId="46" applyNumberFormat="0" applyAlignment="0" applyProtection="0"/>
    <xf numFmtId="0" fontId="67" fillId="0" borderId="46" applyNumberFormat="0" applyAlignment="0" applyProtection="0"/>
    <xf numFmtId="0" fontId="67" fillId="0" borderId="46" applyNumberFormat="0" applyAlignment="0" applyProtection="0"/>
    <xf numFmtId="0" fontId="67" fillId="0" borderId="47">
      <alignment horizontal="left" vertical="center"/>
    </xf>
    <xf numFmtId="0" fontId="67" fillId="0" borderId="47">
      <alignment horizontal="left" vertical="center"/>
    </xf>
    <xf numFmtId="0" fontId="67" fillId="0" borderId="47">
      <alignment horizontal="left" vertical="center"/>
    </xf>
    <xf numFmtId="0" fontId="68" fillId="0" borderId="0" applyNumberFormat="0" applyFill="0" applyBorder="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7" fillId="0" borderId="0" applyNumberFormat="0" applyFill="0" applyBorder="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alignment vertical="top"/>
      <protection locked="0"/>
    </xf>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181" fontId="7" fillId="0" borderId="0" applyFill="0" applyBorder="0" applyAlignment="0" applyProtection="0"/>
    <xf numFmtId="182" fontId="7" fillId="0" borderId="0" applyFill="0" applyBorder="0" applyAlignment="0" applyProtection="0"/>
    <xf numFmtId="37" fontId="73" fillId="0" borderId="0"/>
    <xf numFmtId="37" fontId="73" fillId="0" borderId="0"/>
    <xf numFmtId="37" fontId="73" fillId="0" borderId="0"/>
    <xf numFmtId="37" fontId="73" fillId="0" borderId="0"/>
    <xf numFmtId="0" fontId="74" fillId="0" borderId="0"/>
    <xf numFmtId="0" fontId="74" fillId="0" borderId="0"/>
    <xf numFmtId="0" fontId="74" fillId="0" borderId="0"/>
    <xf numFmtId="0" fontId="74" fillId="0" borderId="0"/>
    <xf numFmtId="164" fontId="7" fillId="0" borderId="0"/>
    <xf numFmtId="164" fontId="7" fillId="0" borderId="0"/>
    <xf numFmtId="164" fontId="7" fillId="0" borderId="0"/>
    <xf numFmtId="164" fontId="7" fillId="0" borderId="0"/>
    <xf numFmtId="0" fontId="7" fillId="0" borderId="0"/>
    <xf numFmtId="0" fontId="7" fillId="0" borderId="0">
      <alignment vertical="top"/>
    </xf>
    <xf numFmtId="0" fontId="7" fillId="0" borderId="0">
      <alignment vertical="top"/>
    </xf>
    <xf numFmtId="0" fontId="2" fillId="0" borderId="0"/>
    <xf numFmtId="0" fontId="2" fillId="0" borderId="0"/>
    <xf numFmtId="0" fontId="2" fillId="0" borderId="0"/>
    <xf numFmtId="0" fontId="7" fillId="0" borderId="0"/>
    <xf numFmtId="0" fontId="6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2" fillId="0" borderId="0"/>
    <xf numFmtId="0" fontId="7" fillId="0" borderId="0"/>
    <xf numFmtId="0" fontId="7" fillId="0" borderId="0"/>
    <xf numFmtId="0" fontId="7" fillId="0" borderId="0"/>
    <xf numFmtId="0" fontId="7" fillId="0" borderId="0"/>
    <xf numFmtId="0" fontId="7" fillId="0" borderId="0"/>
    <xf numFmtId="0" fontId="7" fillId="0" borderId="0">
      <alignment vertical="top"/>
    </xf>
    <xf numFmtId="0" fontId="2" fillId="0" borderId="0"/>
    <xf numFmtId="0" fontId="62" fillId="0" borderId="0"/>
    <xf numFmtId="0" fontId="7" fillId="0" borderId="0"/>
    <xf numFmtId="0" fontId="7" fillId="0" borderId="0"/>
    <xf numFmtId="0" fontId="7" fillId="0" borderId="0">
      <alignment vertical="top"/>
    </xf>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3" fontId="75" fillId="0" borderId="0"/>
    <xf numFmtId="3" fontId="76" fillId="0" borderId="0"/>
    <xf numFmtId="3" fontId="76" fillId="0" borderId="0"/>
    <xf numFmtId="0" fontId="7" fillId="7" borderId="51">
      <alignment horizontal="center" vertical="center" wrapText="1"/>
    </xf>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52"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183" fontId="7" fillId="0" borderId="0" applyFill="0" applyBorder="0" applyAlignment="0" applyProtection="0"/>
    <xf numFmtId="184" fontId="7" fillId="0" borderId="0" applyFill="0" applyBorder="0" applyAlignment="0" applyProtection="0"/>
    <xf numFmtId="40" fontId="7" fillId="0" borderId="0" applyFill="0" applyBorder="0" applyAlignment="0" applyProtection="0"/>
    <xf numFmtId="38"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10" fontId="7" fillId="0" borderId="0" applyFill="0" applyBorder="0" applyAlignment="0" applyProtection="0"/>
    <xf numFmtId="0" fontId="80" fillId="0" borderId="0"/>
    <xf numFmtId="185" fontId="7" fillId="0" borderId="0" applyFill="0" applyBorder="0" applyAlignment="0" applyProtection="0"/>
    <xf numFmtId="186" fontId="7" fillId="0" borderId="0" applyFill="0" applyBorder="0" applyAlignment="0" applyProtection="0"/>
    <xf numFmtId="173" fontId="7" fillId="0" borderId="0" applyFill="0" applyBorder="0" applyAlignment="0" applyProtection="0"/>
    <xf numFmtId="187" fontId="7" fillId="0" borderId="0" applyFill="0" applyBorder="0" applyAlignment="0" applyProtection="0"/>
    <xf numFmtId="0" fontId="81" fillId="0" borderId="0"/>
    <xf numFmtId="0" fontId="88" fillId="0" borderId="0" applyNumberFormat="0" applyFill="0" applyBorder="0" applyAlignment="0" applyProtection="0">
      <alignment vertical="top"/>
      <protection locked="0"/>
    </xf>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alignment vertical="top"/>
    </xf>
    <xf numFmtId="0" fontId="1" fillId="0" borderId="0">
      <alignment vertical="top"/>
    </xf>
  </cellStyleXfs>
  <cellXfs count="420">
    <xf numFmtId="0" fontId="0" fillId="0" borderId="0" xfId="0"/>
    <xf numFmtId="0" fontId="4" fillId="0" borderId="2" xfId="0" applyFont="1" applyBorder="1" applyAlignment="1">
      <alignment horizontal="center" vertical="center" wrapText="1"/>
    </xf>
    <xf numFmtId="10" fontId="0" fillId="0" borderId="0" xfId="0" applyNumberFormat="1"/>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7" fillId="0" borderId="0" xfId="0" applyFont="1"/>
    <xf numFmtId="0" fontId="7" fillId="0" borderId="14" xfId="0" applyFont="1" applyBorder="1"/>
    <xf numFmtId="0" fontId="7" fillId="0" borderId="0" xfId="0" applyFont="1" applyBorder="1" applyAlignment="1">
      <alignment horizontal="left"/>
    </xf>
    <xf numFmtId="0" fontId="7" fillId="0" borderId="0" xfId="0" applyFont="1" applyBorder="1"/>
    <xf numFmtId="0" fontId="4" fillId="0" borderId="0" xfId="0" applyFont="1" applyFill="1" applyBorder="1" applyAlignment="1">
      <alignment horizontal="left" vertical="center" wrapText="1"/>
    </xf>
    <xf numFmtId="0" fontId="8" fillId="0" borderId="0" xfId="0" applyFont="1" applyBorder="1" applyAlignment="1">
      <alignment horizontal="right"/>
    </xf>
    <xf numFmtId="0" fontId="8" fillId="0" borderId="17" xfId="0" applyFont="1" applyBorder="1" applyAlignment="1">
      <alignment horizontal="right"/>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wrapText="1"/>
    </xf>
    <xf numFmtId="0" fontId="4"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0" fillId="0" borderId="0" xfId="0" applyFont="1"/>
    <xf numFmtId="0" fontId="11" fillId="0" borderId="0" xfId="0" applyFont="1"/>
    <xf numFmtId="0" fontId="14" fillId="0" borderId="1" xfId="0" applyFont="1" applyBorder="1" applyAlignment="1">
      <alignment horizontal="right" vertical="center" wrapText="1"/>
    </xf>
    <xf numFmtId="0" fontId="13" fillId="0" borderId="2" xfId="0" applyFont="1" applyBorder="1" applyAlignment="1">
      <alignment horizontal="center" vertical="center" wrapText="1"/>
    </xf>
    <xf numFmtId="2" fontId="14" fillId="0" borderId="1" xfId="0" applyNumberFormat="1" applyFont="1" applyBorder="1" applyAlignment="1">
      <alignment vertical="center" wrapText="1"/>
    </xf>
    <xf numFmtId="0" fontId="15" fillId="0" borderId="0" xfId="0" applyFont="1" applyBorder="1" applyAlignment="1">
      <alignment horizontal="right"/>
    </xf>
    <xf numFmtId="0" fontId="15" fillId="0" borderId="0" xfId="0" applyFont="1"/>
    <xf numFmtId="0" fontId="17" fillId="0" borderId="0" xfId="0" applyFont="1" applyBorder="1"/>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1" fontId="12" fillId="0" borderId="1" xfId="0" applyNumberFormat="1" applyFont="1" applyBorder="1"/>
    <xf numFmtId="0" fontId="12" fillId="0" borderId="1" xfId="0" applyFont="1" applyBorder="1"/>
    <xf numFmtId="0" fontId="13" fillId="0" borderId="20" xfId="0" applyFont="1" applyBorder="1" applyAlignment="1">
      <alignment vertical="center"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20" fillId="0" borderId="0" xfId="0" applyFont="1" applyAlignment="1">
      <alignment horizontal="left" wrapText="1"/>
    </xf>
    <xf numFmtId="0" fontId="20" fillId="0" borderId="0" xfId="0" applyFont="1" applyAlignment="1">
      <alignment horizontal="right" wrapText="1"/>
    </xf>
    <xf numFmtId="0" fontId="19" fillId="0" borderId="0" xfId="0" applyFont="1" applyAlignment="1">
      <alignment wrapText="1"/>
    </xf>
    <xf numFmtId="0" fontId="0" fillId="0" borderId="0" xfId="0" applyAlignment="1">
      <alignment wrapText="1"/>
    </xf>
    <xf numFmtId="0" fontId="21" fillId="0" borderId="0" xfId="0" applyFont="1" applyAlignment="1">
      <alignment wrapText="1"/>
    </xf>
    <xf numFmtId="0" fontId="22" fillId="0" borderId="0" xfId="0" applyFont="1" applyAlignment="1">
      <alignment horizontal="right" wrapText="1"/>
    </xf>
    <xf numFmtId="0" fontId="22" fillId="0" borderId="0" xfId="0" applyFont="1" applyAlignment="1">
      <alignment horizontal="center" wrapText="1"/>
    </xf>
    <xf numFmtId="0" fontId="22" fillId="0" borderId="0" xfId="0" applyFont="1" applyAlignment="1">
      <alignment horizontal="left" wrapText="1"/>
    </xf>
    <xf numFmtId="0" fontId="22" fillId="0" borderId="0" xfId="0" applyFont="1" applyAlignment="1">
      <alignment wrapText="1"/>
    </xf>
    <xf numFmtId="1" fontId="7" fillId="0" borderId="0" xfId="0" applyNumberFormat="1" applyFont="1"/>
    <xf numFmtId="2" fontId="12" fillId="0" borderId="1" xfId="0" applyNumberFormat="1" applyFont="1" applyBorder="1"/>
    <xf numFmtId="1" fontId="14" fillId="0" borderId="4" xfId="0" applyNumberFormat="1" applyFont="1" applyBorder="1" applyAlignment="1">
      <alignment vertical="center" wrapText="1"/>
    </xf>
    <xf numFmtId="1" fontId="14" fillId="0" borderId="1" xfId="0" applyNumberFormat="1" applyFont="1" applyBorder="1" applyAlignment="1">
      <alignment vertical="center" wrapText="1"/>
    </xf>
    <xf numFmtId="1" fontId="14" fillId="0" borderId="0" xfId="0" applyNumberFormat="1" applyFont="1" applyBorder="1" applyAlignment="1">
      <alignment horizontal="right" vertical="center" wrapText="1"/>
    </xf>
    <xf numFmtId="0" fontId="6" fillId="0" borderId="0" xfId="0" applyFont="1" applyAlignment="1">
      <alignment horizontal="center" vertical="center" wrapText="1"/>
    </xf>
    <xf numFmtId="0" fontId="13"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10" fontId="14" fillId="0" borderId="1" xfId="0" applyNumberFormat="1" applyFont="1" applyBorder="1" applyAlignment="1">
      <alignment horizontal="right" vertical="center" wrapText="1"/>
    </xf>
    <xf numFmtId="0" fontId="14" fillId="0" borderId="16" xfId="0" applyFont="1" applyBorder="1" applyAlignment="1">
      <alignment horizontal="right" vertical="center" wrapText="1"/>
    </xf>
    <xf numFmtId="0" fontId="13" fillId="0" borderId="1" xfId="0" applyFont="1" applyFill="1" applyBorder="1" applyAlignment="1">
      <alignment horizontal="center" vertical="center" wrapText="1"/>
    </xf>
    <xf numFmtId="0" fontId="15" fillId="0" borderId="0" xfId="0" applyFont="1" applyFill="1"/>
    <xf numFmtId="2" fontId="14" fillId="0" borderId="4" xfId="0" applyNumberFormat="1" applyFont="1" applyFill="1" applyBorder="1" applyAlignment="1">
      <alignment horizontal="right" vertical="center" wrapText="1"/>
    </xf>
    <xf numFmtId="2" fontId="14" fillId="0" borderId="2" xfId="0" applyNumberFormat="1" applyFont="1" applyFill="1" applyBorder="1" applyAlignment="1">
      <alignment horizontal="right" vertical="center" wrapText="1"/>
    </xf>
    <xf numFmtId="0" fontId="17" fillId="0" borderId="0" xfId="0" applyFont="1" applyFill="1"/>
    <xf numFmtId="0" fontId="23" fillId="0" borderId="0" xfId="0" applyFont="1" applyFill="1" applyAlignment="1">
      <alignment horizontal="center" vertical="center"/>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0" xfId="0" applyFont="1" applyFill="1"/>
    <xf numFmtId="0" fontId="14" fillId="0" borderId="0" xfId="0" applyFont="1" applyFill="1"/>
    <xf numFmtId="0" fontId="16" fillId="0" borderId="6"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5" fillId="0" borderId="0" xfId="0" applyFont="1" applyFill="1" applyAlignment="1">
      <alignment horizontal="left"/>
    </xf>
    <xf numFmtId="0" fontId="15" fillId="0" borderId="0" xfId="0" applyFont="1" applyFill="1" applyAlignment="1">
      <alignment horizontal="center"/>
    </xf>
    <xf numFmtId="0" fontId="16" fillId="0" borderId="0" xfId="0" applyFont="1" applyFill="1" applyAlignment="1">
      <alignment horizontal="center" vertical="center" wrapText="1"/>
    </xf>
    <xf numFmtId="0" fontId="16"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9" xfId="0" applyFont="1" applyFill="1" applyBorder="1" applyAlignment="1">
      <alignment horizontal="center" vertical="center" wrapText="1"/>
    </xf>
    <xf numFmtId="165" fontId="26" fillId="0" borderId="0" xfId="0" applyNumberFormat="1" applyFont="1" applyFill="1"/>
    <xf numFmtId="0" fontId="27" fillId="0" borderId="0" xfId="0" applyFont="1" applyFill="1"/>
    <xf numFmtId="0" fontId="16"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26" fillId="0" borderId="0" xfId="0" applyFont="1" applyFill="1"/>
    <xf numFmtId="2" fontId="26" fillId="0" borderId="0" xfId="0" applyNumberFormat="1" applyFont="1" applyFill="1"/>
    <xf numFmtId="0" fontId="17" fillId="0" borderId="0" xfId="0" applyFont="1"/>
    <xf numFmtId="0" fontId="23" fillId="0" borderId="0" xfId="0" applyFont="1" applyAlignment="1">
      <alignment horizontal="center" vertical="center" wrapText="1"/>
    </xf>
    <xf numFmtId="0" fontId="30" fillId="0" borderId="0" xfId="0" applyFont="1" applyAlignment="1">
      <alignment horizont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 xfId="0" applyFont="1" applyBorder="1" applyAlignment="1">
      <alignment horizontal="left" vertical="center" wrapText="1"/>
    </xf>
    <xf numFmtId="10" fontId="14" fillId="0" borderId="8" xfId="0" applyNumberFormat="1" applyFont="1" applyBorder="1" applyAlignment="1">
      <alignment horizontal="right" vertical="center" wrapText="1"/>
    </xf>
    <xf numFmtId="0" fontId="13" fillId="0" borderId="6" xfId="0" applyFont="1" applyBorder="1" applyAlignment="1">
      <alignment horizontal="center" vertical="center" wrapText="1"/>
    </xf>
    <xf numFmtId="0" fontId="13" fillId="0" borderId="2" xfId="0" applyFont="1" applyBorder="1" applyAlignment="1">
      <alignment horizontal="left" vertical="center" wrapText="1"/>
    </xf>
    <xf numFmtId="0" fontId="13" fillId="0" borderId="0" xfId="0" applyFont="1" applyBorder="1" applyAlignment="1">
      <alignment horizontal="center" vertical="center" wrapText="1"/>
    </xf>
    <xf numFmtId="2" fontId="17" fillId="0" borderId="0" xfId="0" applyNumberFormat="1" applyFont="1"/>
    <xf numFmtId="164" fontId="33" fillId="0" borderId="0" xfId="0" applyNumberFormat="1" applyFont="1"/>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1" xfId="0" applyFont="1" applyBorder="1" applyAlignment="1">
      <alignment horizontal="right" vertical="center" wrapText="1"/>
    </xf>
    <xf numFmtId="2" fontId="14" fillId="0" borderId="2" xfId="0" applyNumberFormat="1" applyFont="1" applyBorder="1" applyAlignment="1">
      <alignment horizontal="right" vertical="center" wrapText="1"/>
    </xf>
    <xf numFmtId="0" fontId="13" fillId="0" borderId="2" xfId="0" applyFont="1" applyBorder="1" applyAlignment="1">
      <alignment horizontal="right" vertical="center" wrapText="1"/>
    </xf>
    <xf numFmtId="0" fontId="13" fillId="0" borderId="12" xfId="0" applyFont="1" applyBorder="1" applyAlignment="1">
      <alignment horizontal="right" vertical="center" wrapText="1"/>
    </xf>
    <xf numFmtId="0" fontId="34" fillId="0" borderId="0" xfId="0" applyFont="1" applyAlignment="1">
      <alignment vertical="center" wrapText="1"/>
    </xf>
    <xf numFmtId="0" fontId="31" fillId="0" borderId="0" xfId="0" applyFont="1" applyAlignment="1">
      <alignment horizontal="center" vertical="center" wrapText="1"/>
    </xf>
    <xf numFmtId="0" fontId="16" fillId="0" borderId="0" xfId="0" applyFont="1"/>
    <xf numFmtId="2" fontId="16" fillId="0" borderId="0" xfId="0" applyNumberFormat="1" applyFont="1"/>
    <xf numFmtId="0" fontId="14" fillId="0" borderId="0" xfId="0" applyFont="1" applyAlignment="1">
      <alignment horizontal="center" vertical="center"/>
    </xf>
    <xf numFmtId="2" fontId="27" fillId="0" borderId="0" xfId="0" applyNumberFormat="1" applyFont="1"/>
    <xf numFmtId="0" fontId="14" fillId="0" borderId="0" xfId="0" applyFont="1"/>
    <xf numFmtId="0" fontId="30" fillId="0" borderId="0" xfId="0" applyFont="1" applyFill="1" applyBorder="1" applyAlignment="1">
      <alignment horizontal="left" vertical="center" wrapText="1"/>
    </xf>
    <xf numFmtId="1" fontId="14" fillId="0" borderId="1" xfId="0" applyNumberFormat="1" applyFont="1" applyFill="1" applyBorder="1" applyAlignment="1">
      <alignment horizontal="right" vertical="center" wrapText="1"/>
    </xf>
    <xf numFmtId="0" fontId="17" fillId="0" borderId="14" xfId="0" applyFont="1" applyFill="1" applyBorder="1"/>
    <xf numFmtId="0" fontId="17" fillId="0" borderId="0" xfId="0" applyFont="1" applyFill="1" applyBorder="1" applyAlignment="1">
      <alignment horizontal="left"/>
    </xf>
    <xf numFmtId="0" fontId="17" fillId="0" borderId="0" xfId="0" applyFont="1" applyFill="1" applyBorder="1"/>
    <xf numFmtId="0" fontId="15" fillId="0" borderId="0" xfId="0" applyFont="1" applyFill="1" applyBorder="1" applyAlignment="1">
      <alignment horizontal="right"/>
    </xf>
    <xf numFmtId="0" fontId="13" fillId="0" borderId="1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35" fillId="0" borderId="0" xfId="0" applyFont="1" applyFill="1"/>
    <xf numFmtId="2" fontId="35" fillId="0" borderId="0" xfId="0" applyNumberFormat="1" applyFont="1" applyFill="1"/>
    <xf numFmtId="0" fontId="36" fillId="0" borderId="0" xfId="0" applyFont="1" applyFill="1" applyAlignment="1">
      <alignment horizontal="center"/>
    </xf>
    <xf numFmtId="0" fontId="36" fillId="0" borderId="0" xfId="0" applyFont="1" applyFill="1"/>
    <xf numFmtId="2" fontId="36" fillId="0" borderId="0" xfId="0" applyNumberFormat="1" applyFont="1" applyFill="1"/>
    <xf numFmtId="10" fontId="17" fillId="0" borderId="0" xfId="0" applyNumberFormat="1" applyFont="1" applyFill="1"/>
    <xf numFmtId="1" fontId="14" fillId="0" borderId="2" xfId="0" applyNumberFormat="1" applyFont="1" applyBorder="1" applyAlignment="1">
      <alignment vertical="center" wrapText="1"/>
    </xf>
    <xf numFmtId="0" fontId="4" fillId="0" borderId="28" xfId="0" applyFont="1" applyBorder="1" applyAlignment="1">
      <alignment horizontal="center" vertical="center" wrapText="1"/>
    </xf>
    <xf numFmtId="0" fontId="4" fillId="0" borderId="21" xfId="0" applyFont="1" applyBorder="1" applyAlignment="1">
      <alignment horizontal="left" vertical="center" wrapText="1"/>
    </xf>
    <xf numFmtId="0" fontId="4" fillId="0" borderId="2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10" fontId="16" fillId="0" borderId="8" xfId="0" applyNumberFormat="1" applyFont="1" applyBorder="1" applyAlignment="1">
      <alignment horizontal="right" vertical="center" wrapText="1"/>
    </xf>
    <xf numFmtId="2" fontId="37" fillId="0" borderId="0" xfId="0" applyNumberFormat="1" applyFont="1"/>
    <xf numFmtId="10" fontId="37" fillId="0" borderId="0" xfId="0" applyNumberFormat="1" applyFont="1"/>
    <xf numFmtId="0" fontId="38" fillId="0" borderId="0" xfId="0" applyFont="1"/>
    <xf numFmtId="0" fontId="39" fillId="0" borderId="0" xfId="0" applyFont="1" applyFill="1"/>
    <xf numFmtId="0" fontId="40" fillId="0" borderId="0" xfId="0" applyFont="1" applyFill="1"/>
    <xf numFmtId="2" fontId="41" fillId="0" borderId="8" xfId="0" applyNumberFormat="1" applyFont="1" applyBorder="1" applyAlignment="1">
      <alignment horizontal="right" vertical="center" wrapText="1"/>
    </xf>
    <xf numFmtId="10" fontId="14" fillId="0" borderId="4" xfId="0" applyNumberFormat="1" applyFont="1" applyBorder="1" applyAlignment="1">
      <alignment horizontal="right" vertical="center" wrapText="1"/>
    </xf>
    <xf numFmtId="10" fontId="14" fillId="0" borderId="7" xfId="0" applyNumberFormat="1" applyFont="1" applyBorder="1" applyAlignment="1">
      <alignment horizontal="right" vertical="center" wrapText="1"/>
    </xf>
    <xf numFmtId="10" fontId="14" fillId="0" borderId="2" xfId="0" applyNumberFormat="1" applyFont="1" applyBorder="1" applyAlignment="1">
      <alignment horizontal="right" vertical="center" wrapText="1"/>
    </xf>
    <xf numFmtId="10" fontId="14" fillId="0" borderId="12" xfId="0" applyNumberFormat="1" applyFont="1" applyBorder="1" applyAlignment="1">
      <alignment horizontal="righ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0" fontId="15" fillId="0" borderId="17" xfId="0" applyFont="1" applyBorder="1" applyAlignment="1">
      <alignment horizontal="right"/>
    </xf>
    <xf numFmtId="10" fontId="14" fillId="0" borderId="21" xfId="0" applyNumberFormat="1" applyFont="1" applyBorder="1" applyAlignment="1">
      <alignment horizontal="right" vertical="center" wrapText="1"/>
    </xf>
    <xf numFmtId="10" fontId="14" fillId="0" borderId="22" xfId="0" applyNumberFormat="1" applyFont="1" applyBorder="1" applyAlignment="1">
      <alignment horizontal="right" vertical="center" wrapText="1"/>
    </xf>
    <xf numFmtId="0" fontId="13" fillId="0" borderId="1" xfId="0" applyFont="1" applyBorder="1" applyAlignment="1">
      <alignment horizontal="center" vertical="center" wrapText="1"/>
    </xf>
    <xf numFmtId="2"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8" xfId="0" applyNumberFormat="1" applyFont="1" applyBorder="1" applyAlignment="1">
      <alignment horizontal="right" vertical="center" wrapText="1"/>
    </xf>
    <xf numFmtId="0" fontId="13" fillId="0" borderId="18" xfId="0" applyFont="1" applyBorder="1" applyAlignment="1">
      <alignment horizontal="center" vertical="center" wrapText="1"/>
    </xf>
    <xf numFmtId="0" fontId="13" fillId="0" borderId="1" xfId="0" applyFont="1" applyBorder="1" applyAlignment="1">
      <alignment horizontal="center" vertical="center" wrapText="1"/>
    </xf>
    <xf numFmtId="2" fontId="42" fillId="0" borderId="1" xfId="0" applyNumberFormat="1" applyFont="1" applyBorder="1" applyAlignment="1">
      <alignment horizontal="right" vertical="center" wrapText="1"/>
    </xf>
    <xf numFmtId="0" fontId="40" fillId="0" borderId="0" xfId="0" applyFont="1" applyFill="1" applyBorder="1" applyAlignment="1">
      <alignment horizontal="right"/>
    </xf>
    <xf numFmtId="0" fontId="40" fillId="0" borderId="17" xfId="0" applyFont="1" applyFill="1" applyBorder="1" applyAlignment="1">
      <alignment horizontal="right"/>
    </xf>
    <xf numFmtId="10" fontId="14" fillId="0" borderId="1" xfId="0" applyNumberFormat="1" applyFont="1" applyFill="1" applyBorder="1" applyAlignment="1">
      <alignment horizontal="right" vertical="center" wrapText="1"/>
    </xf>
    <xf numFmtId="10" fontId="14" fillId="0" borderId="8" xfId="0" applyNumberFormat="1" applyFont="1" applyFill="1" applyBorder="1" applyAlignment="1">
      <alignment horizontal="right" vertical="center" wrapText="1"/>
    </xf>
    <xf numFmtId="10" fontId="14" fillId="0" borderId="2" xfId="0" applyNumberFormat="1" applyFont="1" applyFill="1" applyBorder="1" applyAlignment="1">
      <alignment horizontal="right" vertical="center" wrapText="1"/>
    </xf>
    <xf numFmtId="10" fontId="14" fillId="0" borderId="12"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2" fontId="14" fillId="0" borderId="10" xfId="0" applyNumberFormat="1" applyFont="1" applyBorder="1" applyAlignment="1">
      <alignment horizontal="right" vertical="center" wrapText="1"/>
    </xf>
    <xf numFmtId="0" fontId="14" fillId="0" borderId="10" xfId="0" applyFont="1" applyBorder="1" applyAlignment="1">
      <alignment horizontal="right" vertical="center" wrapText="1"/>
    </xf>
    <xf numFmtId="0" fontId="13" fillId="0" borderId="1" xfId="0" applyFont="1" applyBorder="1" applyAlignment="1">
      <alignment horizontal="center" vertical="center" wrapText="1"/>
    </xf>
    <xf numFmtId="0" fontId="13" fillId="0" borderId="15"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10" fontId="14" fillId="0" borderId="8"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10" fontId="10" fillId="0" borderId="1" xfId="0" applyNumberFormat="1" applyFont="1" applyBorder="1" applyAlignment="1">
      <alignment horizontal="right" vertical="center" wrapText="1"/>
    </xf>
    <xf numFmtId="0" fontId="4" fillId="0" borderId="10" xfId="0" applyFont="1" applyBorder="1" applyAlignment="1">
      <alignment horizontal="center" vertical="center" wrapText="1"/>
    </xf>
    <xf numFmtId="2" fontId="10" fillId="0" borderId="1" xfId="0" applyNumberFormat="1" applyFont="1" applyBorder="1" applyAlignment="1">
      <alignment vertical="center" wrapText="1"/>
    </xf>
    <xf numFmtId="2" fontId="10" fillId="0" borderId="15" xfId="0" applyNumberFormat="1" applyFont="1" applyBorder="1" applyAlignment="1">
      <alignment vertical="center" wrapText="1"/>
    </xf>
    <xf numFmtId="10" fontId="10" fillId="0" borderId="8" xfId="0" applyNumberFormat="1" applyFont="1" applyBorder="1" applyAlignment="1">
      <alignment horizontal="right" vertical="center" wrapText="1"/>
    </xf>
    <xf numFmtId="2" fontId="13" fillId="0" borderId="8" xfId="0" applyNumberFormat="1" applyFont="1" applyBorder="1" applyAlignment="1">
      <alignment horizontal="right" vertical="center" wrapText="1"/>
    </xf>
    <xf numFmtId="10" fontId="14" fillId="0" borderId="15" xfId="0" applyNumberFormat="1" applyFont="1" applyBorder="1" applyAlignment="1">
      <alignment horizontal="right" vertical="center" wrapText="1"/>
    </xf>
    <xf numFmtId="10" fontId="14" fillId="2" borderId="1" xfId="0" applyNumberFormat="1" applyFont="1" applyFill="1" applyBorder="1" applyAlignment="1">
      <alignment horizontal="right" vertical="center" wrapText="1"/>
    </xf>
    <xf numFmtId="10" fontId="14" fillId="2" borderId="15" xfId="0" applyNumberFormat="1" applyFont="1" applyFill="1" applyBorder="1" applyAlignment="1">
      <alignment horizontal="right" vertical="center" wrapText="1"/>
    </xf>
    <xf numFmtId="0" fontId="14" fillId="0" borderId="15" xfId="0" applyFont="1" applyBorder="1" applyAlignment="1">
      <alignment horizontal="right" vertical="center" wrapText="1"/>
    </xf>
    <xf numFmtId="10" fontId="14" fillId="0" borderId="4" xfId="0" applyNumberFormat="1" applyFont="1" applyFill="1" applyBorder="1" applyAlignment="1">
      <alignment horizontal="right" vertical="center" wrapText="1"/>
    </xf>
    <xf numFmtId="10" fontId="14" fillId="0" borderId="7" xfId="0" applyNumberFormat="1" applyFont="1" applyFill="1" applyBorder="1" applyAlignment="1">
      <alignment horizontal="right" vertical="center" wrapText="1"/>
    </xf>
    <xf numFmtId="2" fontId="14" fillId="0" borderId="3" xfId="0" applyNumberFormat="1" applyFont="1" applyFill="1" applyBorder="1" applyAlignment="1">
      <alignment horizontal="right" vertical="center" wrapText="1"/>
    </xf>
    <xf numFmtId="2" fontId="14" fillId="0" borderId="6" xfId="0" applyNumberFormat="1" applyFont="1" applyFill="1" applyBorder="1" applyAlignment="1">
      <alignment horizontal="right" vertical="center" wrapText="1"/>
    </xf>
    <xf numFmtId="0" fontId="36" fillId="0" borderId="0" xfId="0" applyFont="1"/>
    <xf numFmtId="2" fontId="14" fillId="0" borderId="10"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10" fontId="42" fillId="0" borderId="1" xfId="0" applyNumberFormat="1" applyFont="1" applyBorder="1" applyAlignment="1">
      <alignment horizontal="right" vertical="center" wrapText="1"/>
    </xf>
    <xf numFmtId="10" fontId="42" fillId="0" borderId="1" xfId="0" applyNumberFormat="1" applyFont="1" applyFill="1" applyBorder="1" applyAlignment="1">
      <alignment horizontal="right" vertical="center" wrapText="1"/>
    </xf>
    <xf numFmtId="10" fontId="42" fillId="0" borderId="8" xfId="0" applyNumberFormat="1" applyFont="1" applyFill="1" applyBorder="1" applyAlignment="1">
      <alignment horizontal="right" vertical="center" wrapText="1"/>
    </xf>
    <xf numFmtId="10" fontId="42" fillId="0" borderId="21" xfId="0" applyNumberFormat="1" applyFont="1" applyBorder="1" applyAlignment="1">
      <alignment horizontal="right" vertical="center" wrapText="1"/>
    </xf>
    <xf numFmtId="10" fontId="42" fillId="0" borderId="8" xfId="0" applyNumberFormat="1" applyFont="1" applyBorder="1" applyAlignment="1">
      <alignment horizontal="right" vertical="center" wrapText="1"/>
    </xf>
    <xf numFmtId="10" fontId="14" fillId="0" borderId="1" xfId="2"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2" fontId="36" fillId="0" borderId="0" xfId="0" applyNumberFormat="1" applyFont="1"/>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Fill="1" applyBorder="1" applyAlignment="1">
      <alignment horizontal="right" vertical="center" wrapText="1"/>
    </xf>
    <xf numFmtId="10" fontId="17" fillId="0" borderId="0" xfId="0" applyNumberFormat="1" applyFont="1"/>
    <xf numFmtId="1" fontId="15" fillId="0" borderId="0" xfId="0" applyNumberFormat="1" applyFont="1" applyFill="1" applyBorder="1" applyAlignment="1">
      <alignment horizontal="right"/>
    </xf>
    <xf numFmtId="1" fontId="14" fillId="0" borderId="4" xfId="0" applyNumberFormat="1" applyFont="1" applyFill="1" applyBorder="1" applyAlignment="1">
      <alignment vertical="center" wrapText="1"/>
    </xf>
    <xf numFmtId="1" fontId="14" fillId="0" borderId="5" xfId="0" applyNumberFormat="1" applyFont="1" applyFill="1" applyBorder="1" applyAlignment="1">
      <alignment vertical="center" wrapText="1"/>
    </xf>
    <xf numFmtId="1" fontId="14" fillId="0" borderId="1" xfId="0" applyNumberFormat="1" applyFont="1" applyFill="1" applyBorder="1" applyAlignment="1">
      <alignment vertical="center" wrapText="1"/>
    </xf>
    <xf numFmtId="1" fontId="14" fillId="0" borderId="5" xfId="0" applyNumberFormat="1" applyFont="1" applyFill="1" applyBorder="1" applyAlignment="1">
      <alignment horizontal="right" vertical="center" wrapText="1"/>
    </xf>
    <xf numFmtId="2" fontId="17" fillId="0" borderId="0" xfId="2" applyNumberFormat="1" applyFont="1"/>
    <xf numFmtId="10" fontId="17" fillId="0" borderId="0" xfId="2" applyNumberFormat="1" applyFont="1"/>
    <xf numFmtId="1" fontId="14" fillId="0" borderId="1" xfId="0" applyNumberFormat="1" applyFont="1" applyBorder="1" applyAlignment="1">
      <alignment vertical="center" wrapText="1"/>
    </xf>
    <xf numFmtId="2" fontId="14" fillId="0" borderId="1" xfId="0" applyNumberFormat="1" applyFont="1" applyFill="1" applyBorder="1" applyAlignment="1">
      <alignment horizontal="right" vertical="center" wrapText="1"/>
    </xf>
    <xf numFmtId="9" fontId="17" fillId="0" borderId="0" xfId="2" applyFont="1"/>
    <xf numFmtId="10" fontId="15" fillId="0" borderId="0" xfId="2" applyNumberFormat="1" applyFont="1"/>
    <xf numFmtId="10"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1" fontId="14" fillId="0" borderId="2" xfId="0" applyNumberFormat="1" applyFont="1" applyFill="1" applyBorder="1" applyAlignment="1">
      <alignment horizontal="right" vertical="center" wrapText="1"/>
    </xf>
    <xf numFmtId="2" fontId="14" fillId="0" borderId="5" xfId="0" quotePrefix="1" applyNumberFormat="1" applyFont="1" applyFill="1" applyBorder="1" applyAlignment="1">
      <alignment horizontal="right" vertical="center" wrapText="1"/>
    </xf>
    <xf numFmtId="0" fontId="13" fillId="0" borderId="1"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10" fontId="14" fillId="0" borderId="8" xfId="0" applyNumberFormat="1" applyFont="1" applyBorder="1" applyAlignment="1">
      <alignment horizontal="right" vertical="center" wrapText="1"/>
    </xf>
    <xf numFmtId="0" fontId="13" fillId="0" borderId="18" xfId="0" applyFont="1" applyBorder="1" applyAlignment="1">
      <alignment horizontal="center" vertical="center" wrapText="1"/>
    </xf>
    <xf numFmtId="10" fontId="14" fillId="0" borderId="1" xfId="0" applyNumberFormat="1" applyFont="1" applyBorder="1" applyAlignment="1">
      <alignment horizontal="right" vertical="center" wrapText="1"/>
    </xf>
    <xf numFmtId="1" fontId="14" fillId="0" borderId="1" xfId="0" applyNumberFormat="1" applyFont="1" applyFill="1" applyBorder="1" applyAlignment="1">
      <alignment horizontal="right" vertical="center" wrapText="1"/>
    </xf>
    <xf numFmtId="10" fontId="14" fillId="0" borderId="32" xfId="0" applyNumberFormat="1" applyFont="1" applyBorder="1" applyAlignment="1">
      <alignment horizontal="right" vertical="center" wrapText="1"/>
    </xf>
    <xf numFmtId="0" fontId="16" fillId="0" borderId="1" xfId="0" applyFont="1" applyBorder="1" applyAlignment="1">
      <alignment horizontal="left" vertical="center" wrapText="1"/>
    </xf>
    <xf numFmtId="164" fontId="36" fillId="0" borderId="0" xfId="0" applyNumberFormat="1" applyFont="1" applyFill="1"/>
    <xf numFmtId="164" fontId="15" fillId="0" borderId="0" xfId="0" applyNumberFormat="1" applyFont="1" applyFill="1"/>
    <xf numFmtId="10" fontId="14" fillId="0" borderId="8" xfId="0" applyNumberFormat="1" applyFont="1" applyBorder="1" applyAlignment="1">
      <alignment horizontal="right" vertical="center" wrapText="1"/>
    </xf>
    <xf numFmtId="2" fontId="17" fillId="0" borderId="0" xfId="0" applyNumberFormat="1" applyFont="1" applyFill="1"/>
    <xf numFmtId="2" fontId="14" fillId="0" borderId="1" xfId="0" applyNumberFormat="1" applyFont="1" applyFill="1" applyBorder="1" applyAlignment="1">
      <alignment horizontal="right" vertical="center" wrapText="1"/>
    </xf>
    <xf numFmtId="0" fontId="15" fillId="0" borderId="0" xfId="0" applyFont="1"/>
    <xf numFmtId="1" fontId="14" fillId="0" borderId="1" xfId="0" applyNumberFormat="1" applyFont="1" applyFill="1" applyBorder="1" applyAlignment="1">
      <alignment horizontal="right" vertical="center" wrapText="1"/>
    </xf>
    <xf numFmtId="2"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64" fontId="14" fillId="0" borderId="4" xfId="0" applyNumberFormat="1" applyFont="1" applyFill="1" applyBorder="1" applyAlignment="1">
      <alignment horizontal="right" vertical="center" wrapText="1"/>
    </xf>
    <xf numFmtId="164" fontId="14" fillId="0" borderId="1" xfId="0" applyNumberFormat="1" applyFont="1" applyFill="1" applyBorder="1" applyAlignment="1">
      <alignment horizontal="right" vertical="center" wrapText="1"/>
    </xf>
    <xf numFmtId="164" fontId="14" fillId="0" borderId="2" xfId="0" applyNumberFormat="1" applyFont="1" applyFill="1" applyBorder="1" applyAlignment="1">
      <alignment horizontal="right" vertical="center" wrapText="1"/>
    </xf>
    <xf numFmtId="2" fontId="14" fillId="0" borderId="6"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2" fontId="14" fillId="0" borderId="1" xfId="0" quotePrefix="1" applyNumberFormat="1" applyFont="1" applyFill="1" applyBorder="1" applyAlignment="1">
      <alignment horizontal="right" vertical="center" wrapText="1"/>
    </xf>
    <xf numFmtId="2" fontId="14" fillId="0" borderId="21" xfId="0" applyNumberFormat="1" applyFont="1" applyFill="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0" fontId="45" fillId="0" borderId="0" xfId="4" applyFont="1" applyFill="1"/>
    <xf numFmtId="0" fontId="46" fillId="0" borderId="36" xfId="1" applyFont="1" applyFill="1" applyBorder="1" applyAlignment="1"/>
    <xf numFmtId="0" fontId="46" fillId="0" borderId="2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16" xfId="1" applyFont="1" applyFill="1" applyBorder="1" applyAlignment="1">
      <alignment horizontal="center" vertical="center" wrapText="1"/>
    </xf>
    <xf numFmtId="0" fontId="49" fillId="0" borderId="1" xfId="1" applyFont="1" applyFill="1" applyBorder="1" applyAlignment="1">
      <alignment horizontal="center" vertical="center" wrapText="1"/>
    </xf>
    <xf numFmtId="0" fontId="45" fillId="0" borderId="1" xfId="1" applyFont="1" applyFill="1" applyBorder="1" applyAlignment="1">
      <alignment horizontal="center" vertical="center"/>
    </xf>
    <xf numFmtId="0" fontId="45" fillId="0" borderId="1" xfId="1" applyFont="1" applyFill="1" applyBorder="1" applyAlignment="1">
      <alignment horizontal="center" vertical="center" wrapText="1"/>
    </xf>
    <xf numFmtId="2" fontId="45" fillId="0" borderId="1" xfId="1" applyNumberFormat="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5" fillId="0" borderId="0" xfId="4" applyFont="1" applyFill="1" applyAlignment="1">
      <alignment vertical="center"/>
    </xf>
    <xf numFmtId="0" fontId="50" fillId="0" borderId="0" xfId="4" applyFont="1" applyFill="1" applyBorder="1" applyAlignment="1">
      <alignment horizontal="center" vertical="center"/>
    </xf>
    <xf numFmtId="0" fontId="50" fillId="0" borderId="10" xfId="1" applyFont="1" applyFill="1" applyBorder="1" applyAlignment="1">
      <alignment horizontal="center" vertical="center" wrapText="1"/>
    </xf>
    <xf numFmtId="2" fontId="50" fillId="0" borderId="10" xfId="1" applyNumberFormat="1" applyFont="1" applyFill="1" applyBorder="1" applyAlignment="1">
      <alignment horizontal="center" vertical="center" wrapText="1"/>
    </xf>
    <xf numFmtId="0" fontId="50" fillId="0" borderId="16" xfId="1" applyFont="1" applyFill="1" applyBorder="1" applyAlignment="1">
      <alignment horizontal="center" vertical="center" wrapText="1"/>
    </xf>
    <xf numFmtId="0" fontId="46" fillId="0" borderId="10" xfId="1" applyFont="1" applyFill="1" applyBorder="1" applyAlignment="1">
      <alignment horizontal="center" vertical="center" wrapText="1"/>
    </xf>
    <xf numFmtId="0" fontId="51" fillId="0" borderId="26" xfId="4" applyFont="1" applyFill="1" applyBorder="1" applyAlignment="1">
      <alignment horizontal="center" vertical="center"/>
    </xf>
    <xf numFmtId="0" fontId="52" fillId="0" borderId="2" xfId="1" applyFont="1" applyFill="1" applyBorder="1" applyAlignment="1">
      <alignment horizontal="center" vertical="center" wrapText="1"/>
    </xf>
    <xf numFmtId="0" fontId="51" fillId="0" borderId="0" xfId="4" applyFont="1" applyFill="1" applyAlignment="1">
      <alignment vertical="center"/>
    </xf>
    <xf numFmtId="0" fontId="50" fillId="0" borderId="1" xfId="4" applyFont="1" applyFill="1" applyBorder="1" applyAlignment="1">
      <alignment horizontal="center" vertical="center"/>
    </xf>
    <xf numFmtId="2" fontId="50" fillId="0" borderId="1" xfId="1" applyNumberFormat="1" applyFont="1" applyFill="1" applyBorder="1" applyAlignment="1">
      <alignment horizontal="center" vertical="center" wrapText="1"/>
    </xf>
    <xf numFmtId="0" fontId="50" fillId="0" borderId="1" xfId="1" applyFont="1" applyFill="1" applyBorder="1" applyAlignment="1">
      <alignment horizontal="center" vertical="center" wrapText="1"/>
    </xf>
    <xf numFmtId="0" fontId="51" fillId="0" borderId="41" xfId="4" applyFont="1" applyFill="1" applyBorder="1" applyAlignment="1">
      <alignment horizontal="center" vertical="center"/>
    </xf>
    <xf numFmtId="0" fontId="52" fillId="0" borderId="42" xfId="1" applyFont="1" applyFill="1" applyBorder="1" applyAlignment="1">
      <alignment horizontal="center" vertical="center" wrapText="1"/>
    </xf>
    <xf numFmtId="0" fontId="45" fillId="0" borderId="16" xfId="4" applyFont="1" applyFill="1" applyBorder="1" applyAlignment="1">
      <alignment vertical="center"/>
    </xf>
    <xf numFmtId="0" fontId="51" fillId="0" borderId="2" xfId="4" applyFont="1" applyFill="1" applyBorder="1" applyAlignment="1">
      <alignment horizontal="center" vertical="center"/>
    </xf>
    <xf numFmtId="0" fontId="48" fillId="0" borderId="43" xfId="4" applyNumberFormat="1" applyFont="1" applyFill="1" applyBorder="1" applyAlignment="1">
      <alignment vertical="center" wrapText="1"/>
    </xf>
    <xf numFmtId="0" fontId="53" fillId="0" borderId="43" xfId="4" applyNumberFormat="1" applyFont="1" applyFill="1" applyBorder="1" applyAlignment="1">
      <alignment vertical="center" wrapText="1"/>
    </xf>
    <xf numFmtId="0" fontId="45" fillId="0" borderId="0" xfId="0" applyFont="1" applyFill="1" applyBorder="1"/>
    <xf numFmtId="0" fontId="83" fillId="0" borderId="0" xfId="0" applyFont="1" applyFill="1" applyAlignment="1">
      <alignment horizontal="left" vertical="center"/>
    </xf>
    <xf numFmtId="0" fontId="83" fillId="0" borderId="0" xfId="0" applyFont="1" applyFill="1" applyAlignment="1">
      <alignment vertical="center"/>
    </xf>
    <xf numFmtId="0" fontId="83" fillId="0" borderId="0" xfId="0" applyFont="1" applyFill="1" applyAlignment="1">
      <alignment horizontal="right" vertical="center"/>
    </xf>
    <xf numFmtId="0" fontId="85" fillId="0" borderId="4" xfId="0" applyFont="1" applyFill="1" applyBorder="1" applyAlignment="1">
      <alignment horizontal="center" vertical="center" wrapText="1"/>
    </xf>
    <xf numFmtId="0" fontId="45" fillId="0" borderId="0" xfId="0" quotePrefix="1" applyFont="1" applyFill="1" applyBorder="1"/>
    <xf numFmtId="0" fontId="86" fillId="0" borderId="1" xfId="0" applyFont="1" applyFill="1" applyBorder="1" applyAlignment="1">
      <alignment horizontal="left" vertical="center"/>
    </xf>
    <xf numFmtId="0" fontId="86" fillId="0" borderId="1" xfId="0" applyFont="1" applyFill="1" applyBorder="1" applyAlignment="1">
      <alignment horizontal="center" vertical="center"/>
    </xf>
    <xf numFmtId="0" fontId="86"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85" fillId="0" borderId="2" xfId="0" applyFont="1" applyFill="1" applyBorder="1" applyAlignment="1">
      <alignment horizontal="left" vertical="center"/>
    </xf>
    <xf numFmtId="0" fontId="85" fillId="0" borderId="2" xfId="0" applyFont="1" applyFill="1" applyBorder="1" applyAlignment="1">
      <alignment horizontal="center" vertical="center"/>
    </xf>
    <xf numFmtId="0" fontId="85" fillId="0" borderId="2" xfId="0" applyFont="1" applyFill="1" applyBorder="1" applyAlignment="1">
      <alignment vertical="center"/>
    </xf>
    <xf numFmtId="188" fontId="45" fillId="0" borderId="0" xfId="0" applyNumberFormat="1" applyFont="1" applyFill="1" applyBorder="1"/>
    <xf numFmtId="0" fontId="85" fillId="0" borderId="7" xfId="0" applyFont="1" applyFill="1" applyBorder="1" applyAlignment="1">
      <alignment horizontal="center" vertical="center" wrapText="1"/>
    </xf>
    <xf numFmtId="0" fontId="45" fillId="0" borderId="0" xfId="0" applyFont="1" applyFill="1" applyBorder="1" applyAlignment="1">
      <alignment vertical="center"/>
    </xf>
    <xf numFmtId="0" fontId="85" fillId="0" borderId="0" xfId="0" applyFont="1" applyFill="1" applyBorder="1" applyAlignment="1">
      <alignment vertical="center"/>
    </xf>
    <xf numFmtId="1" fontId="50" fillId="0" borderId="0" xfId="0" applyNumberFormat="1" applyFont="1" applyFill="1" applyBorder="1" applyAlignment="1">
      <alignment vertical="center"/>
    </xf>
    <xf numFmtId="0" fontId="86" fillId="9" borderId="1" xfId="0" applyFont="1" applyFill="1" applyBorder="1" applyAlignment="1">
      <alignment horizontal="center" vertical="center"/>
    </xf>
    <xf numFmtId="1" fontId="86" fillId="9" borderId="1" xfId="0" applyNumberFormat="1" applyFont="1" applyFill="1" applyBorder="1" applyAlignment="1">
      <alignment horizontal="center" vertical="center"/>
    </xf>
    <xf numFmtId="1" fontId="86" fillId="9" borderId="8" xfId="0" applyNumberFormat="1" applyFont="1" applyFill="1" applyBorder="1" applyAlignment="1">
      <alignment horizontal="center" vertical="center"/>
    </xf>
    <xf numFmtId="1" fontId="50" fillId="0" borderId="0" xfId="0" applyNumberFormat="1" applyFont="1" applyFill="1" applyBorder="1" applyAlignment="1">
      <alignment horizontal="center" vertical="center"/>
    </xf>
    <xf numFmtId="0" fontId="85" fillId="9" borderId="2" xfId="0" applyFont="1" applyFill="1" applyBorder="1" applyAlignment="1">
      <alignment horizontal="center" vertical="center"/>
    </xf>
    <xf numFmtId="0" fontId="85" fillId="9" borderId="12" xfId="0" applyFont="1" applyFill="1" applyBorder="1" applyAlignment="1">
      <alignment horizontal="center" vertical="center"/>
    </xf>
    <xf numFmtId="0" fontId="45" fillId="0" borderId="0" xfId="0" applyFont="1" applyFill="1" applyBorder="1" applyAlignment="1">
      <alignment horizontal="center" vertical="center"/>
    </xf>
    <xf numFmtId="0" fontId="87" fillId="0" borderId="0" xfId="0" applyFont="1" applyFill="1" applyBorder="1" applyAlignment="1">
      <alignment horizontal="center" vertical="center" wrapText="1"/>
    </xf>
    <xf numFmtId="1" fontId="45" fillId="0" borderId="0" xfId="0" applyNumberFormat="1" applyFont="1" applyFill="1" applyBorder="1" applyAlignment="1">
      <alignment vertical="center"/>
    </xf>
    <xf numFmtId="0" fontId="50" fillId="0" borderId="0" xfId="0" applyFont="1" applyFill="1" applyBorder="1" applyAlignment="1">
      <alignment vertical="center"/>
    </xf>
    <xf numFmtId="16" fontId="50" fillId="0" borderId="0" xfId="0" quotePrefix="1" applyNumberFormat="1" applyFont="1" applyFill="1" applyBorder="1" applyAlignment="1">
      <alignment vertical="center"/>
    </xf>
    <xf numFmtId="0" fontId="50" fillId="0" borderId="0" xfId="0" applyFont="1" applyFill="1" applyBorder="1"/>
    <xf numFmtId="2" fontId="14" fillId="0" borderId="10" xfId="0" applyNumberFormat="1" applyFont="1" applyBorder="1" applyAlignment="1">
      <alignment horizontal="right" vertical="center" wrapText="1"/>
    </xf>
    <xf numFmtId="2" fontId="14" fillId="0" borderId="16" xfId="0" applyNumberFormat="1" applyFont="1" applyBorder="1" applyAlignment="1">
      <alignment horizontal="right" vertical="center" wrapText="1"/>
    </xf>
    <xf numFmtId="2" fontId="14" fillId="0" borderId="21" xfId="0" applyNumberFormat="1" applyFont="1" applyBorder="1" applyAlignment="1">
      <alignment horizontal="right" vertical="center" wrapText="1"/>
    </xf>
    <xf numFmtId="0" fontId="29" fillId="0" borderId="0" xfId="0" applyFont="1" applyAlignment="1">
      <alignment horizontal="center"/>
    </xf>
    <xf numFmtId="0" fontId="31"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2" fontId="14" fillId="0" borderId="10" xfId="0" applyNumberFormat="1" applyFont="1" applyFill="1" applyBorder="1" applyAlignment="1">
      <alignment horizontal="right" vertical="center" wrapText="1"/>
    </xf>
    <xf numFmtId="2" fontId="14" fillId="0" borderId="16" xfId="0" applyNumberFormat="1" applyFont="1" applyFill="1" applyBorder="1" applyAlignment="1">
      <alignment horizontal="right" vertical="center" wrapText="1"/>
    </xf>
    <xf numFmtId="2" fontId="14" fillId="0" borderId="21" xfId="0" applyNumberFormat="1" applyFont="1" applyFill="1" applyBorder="1" applyAlignment="1">
      <alignment horizontal="right" vertical="center" wrapText="1"/>
    </xf>
    <xf numFmtId="0" fontId="28"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21" xfId="0" applyFont="1" applyBorder="1" applyAlignment="1">
      <alignment horizontal="center" vertical="center" wrapText="1"/>
    </xf>
    <xf numFmtId="10" fontId="10" fillId="0" borderId="10" xfId="0" applyNumberFormat="1" applyFont="1" applyBorder="1" applyAlignment="1">
      <alignment horizontal="right" vertical="center" wrapText="1"/>
    </xf>
    <xf numFmtId="10" fontId="10" fillId="0" borderId="21" xfId="0" applyNumberFormat="1" applyFont="1" applyBorder="1" applyAlignment="1">
      <alignment horizontal="right" vertical="center" wrapText="1"/>
    </xf>
    <xf numFmtId="10" fontId="10" fillId="0" borderId="16" xfId="0"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10" fontId="10" fillId="0" borderId="22" xfId="0" applyNumberFormat="1" applyFont="1" applyBorder="1" applyAlignment="1">
      <alignment horizontal="right" vertical="center" wrapText="1"/>
    </xf>
    <xf numFmtId="10" fontId="10" fillId="0" borderId="23" xfId="0" applyNumberFormat="1" applyFont="1" applyBorder="1" applyAlignment="1">
      <alignment horizontal="right" vertical="center" wrapText="1"/>
    </xf>
    <xf numFmtId="0" fontId="32" fillId="0" borderId="0" xfId="0" applyFont="1" applyAlignment="1">
      <alignment horizontal="center"/>
    </xf>
    <xf numFmtId="0" fontId="13" fillId="0" borderId="24" xfId="0" applyFont="1" applyBorder="1" applyAlignment="1">
      <alignment horizontal="center" vertical="center" wrapText="1"/>
    </xf>
    <xf numFmtId="0" fontId="13" fillId="0" borderId="15" xfId="0" applyFont="1" applyBorder="1" applyAlignment="1">
      <alignment horizontal="center" vertical="center" wrapText="1"/>
    </xf>
    <xf numFmtId="0" fontId="24" fillId="0" borderId="0" xfId="0" applyFont="1" applyAlignment="1">
      <alignment horizontal="center"/>
    </xf>
    <xf numFmtId="0" fontId="25" fillId="0" borderId="0" xfId="0" applyFont="1" applyAlignment="1">
      <alignment horizontal="center" vertical="center" wrapText="1"/>
    </xf>
    <xf numFmtId="0" fontId="13" fillId="0" borderId="4"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1" fontId="14" fillId="0" borderId="10" xfId="0" applyNumberFormat="1" applyFont="1" applyFill="1" applyBorder="1" applyAlignment="1">
      <alignment horizontal="right" vertical="center" wrapText="1"/>
    </xf>
    <xf numFmtId="1" fontId="14" fillId="0" borderId="21" xfId="0" applyNumberFormat="1" applyFont="1" applyFill="1" applyBorder="1" applyAlignment="1">
      <alignment horizontal="right" vertical="center" wrapText="1"/>
    </xf>
    <xf numFmtId="0" fontId="24" fillId="0" borderId="0" xfId="0" applyFont="1" applyFill="1" applyAlignment="1">
      <alignment horizontal="center"/>
    </xf>
    <xf numFmtId="10" fontId="14" fillId="0" borderId="11" xfId="0" applyNumberFormat="1" applyFont="1" applyFill="1" applyBorder="1" applyAlignment="1">
      <alignment horizontal="right" vertical="center" wrapText="1"/>
    </xf>
    <xf numFmtId="10" fontId="14" fillId="0" borderId="22" xfId="0" applyNumberFormat="1" applyFont="1" applyFill="1" applyBorder="1" applyAlignment="1">
      <alignment horizontal="right" vertical="center" wrapText="1"/>
    </xf>
    <xf numFmtId="164" fontId="14" fillId="0" borderId="10" xfId="0" applyNumberFormat="1" applyFont="1" applyFill="1" applyBorder="1" applyAlignment="1">
      <alignment horizontal="right" vertical="center" wrapText="1"/>
    </xf>
    <xf numFmtId="164" fontId="14" fillId="0" borderId="21" xfId="0" applyNumberFormat="1" applyFont="1" applyFill="1" applyBorder="1" applyAlignment="1">
      <alignment horizontal="right" vertical="center" wrapText="1"/>
    </xf>
    <xf numFmtId="10" fontId="14" fillId="0" borderId="10" xfId="0" applyNumberFormat="1" applyFont="1" applyFill="1" applyBorder="1" applyAlignment="1">
      <alignment vertical="center" wrapText="1"/>
    </xf>
    <xf numFmtId="10" fontId="14" fillId="0" borderId="21" xfId="0" applyNumberFormat="1" applyFont="1" applyFill="1" applyBorder="1" applyAlignment="1">
      <alignment vertical="center" wrapText="1"/>
    </xf>
    <xf numFmtId="0" fontId="25" fillId="0" borderId="0" xfId="0" applyFont="1" applyFill="1" applyAlignment="1">
      <alignment horizontal="center" vertical="center" wrapText="1"/>
    </xf>
    <xf numFmtId="10" fontId="14" fillId="0" borderId="10" xfId="0" applyNumberFormat="1" applyFont="1" applyFill="1" applyBorder="1" applyAlignment="1">
      <alignment horizontal="right" vertical="center" wrapText="1"/>
    </xf>
    <xf numFmtId="10" fontId="14" fillId="0" borderId="21" xfId="0" applyNumberFormat="1" applyFont="1" applyFill="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2" fontId="14" fillId="0" borderId="13"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10" fontId="14" fillId="0" borderId="1" xfId="0" applyNumberFormat="1" applyFont="1" applyFill="1" applyBorder="1" applyAlignment="1">
      <alignment horizontal="right" vertical="center" wrapText="1"/>
    </xf>
    <xf numFmtId="10" fontId="14" fillId="0" borderId="8"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1" fontId="14" fillId="0" borderId="1" xfId="0" applyNumberFormat="1" applyFont="1" applyBorder="1" applyAlignment="1">
      <alignmen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30" xfId="0" applyNumberFormat="1" applyFont="1" applyFill="1" applyBorder="1" applyAlignment="1">
      <alignment horizontal="right" vertical="center" wrapText="1"/>
    </xf>
    <xf numFmtId="2" fontId="14" fillId="0" borderId="31" xfId="0" applyNumberFormat="1" applyFont="1" applyFill="1" applyBorder="1" applyAlignment="1">
      <alignment horizontal="right" vertical="center" wrapText="1"/>
    </xf>
    <xf numFmtId="0" fontId="9"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10" fontId="14" fillId="0" borderId="11" xfId="0" applyNumberFormat="1" applyFont="1" applyBorder="1" applyAlignment="1">
      <alignment horizontal="right" vertical="center" wrapText="1"/>
    </xf>
    <xf numFmtId="10" fontId="14" fillId="0" borderId="23" xfId="0" applyNumberFormat="1" applyFont="1" applyBorder="1" applyAlignment="1">
      <alignment horizontal="right" vertical="center" wrapText="1"/>
    </xf>
    <xf numFmtId="10" fontId="14" fillId="0" borderId="22" xfId="0" applyNumberFormat="1" applyFont="1" applyBorder="1" applyAlignment="1">
      <alignment horizontal="righ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44" fillId="0" borderId="33" xfId="1" applyFont="1" applyFill="1" applyBorder="1" applyAlignment="1">
      <alignment horizontal="center" vertical="center" wrapText="1"/>
    </xf>
    <xf numFmtId="0" fontId="44" fillId="0" borderId="34" xfId="1" applyFont="1" applyFill="1" applyBorder="1" applyAlignment="1">
      <alignment horizontal="center" vertical="center" wrapText="1"/>
    </xf>
    <xf numFmtId="0" fontId="44" fillId="0" borderId="35" xfId="1" applyFont="1" applyFill="1" applyBorder="1" applyAlignment="1">
      <alignment horizontal="center" vertical="center" wrapText="1"/>
    </xf>
    <xf numFmtId="0" fontId="47" fillId="0" borderId="25" xfId="1" applyFont="1" applyFill="1" applyBorder="1" applyAlignment="1">
      <alignment horizontal="center" vertical="center" wrapText="1"/>
    </xf>
    <xf numFmtId="0" fontId="47" fillId="0" borderId="26" xfId="1" applyFont="1" applyFill="1" applyBorder="1" applyAlignment="1">
      <alignment horizontal="center" vertical="center" wrapText="1"/>
    </xf>
    <xf numFmtId="0" fontId="47" fillId="0" borderId="27" xfId="1" applyFont="1" applyFill="1" applyBorder="1" applyAlignment="1">
      <alignment horizontal="center" vertical="center" wrapText="1"/>
    </xf>
    <xf numFmtId="0" fontId="46" fillId="0" borderId="3" xfId="1" applyFont="1" applyFill="1" applyBorder="1" applyAlignment="1">
      <alignment horizontal="center" vertical="center" wrapText="1"/>
    </xf>
    <xf numFmtId="0" fontId="46" fillId="0" borderId="5" xfId="1" applyFont="1" applyFill="1" applyBorder="1" applyAlignment="1">
      <alignment horizontal="center" vertical="center" wrapText="1"/>
    </xf>
    <xf numFmtId="0" fontId="46" fillId="0" borderId="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7" xfId="1" applyFont="1" applyFill="1" applyBorder="1" applyAlignment="1">
      <alignment horizontal="center" vertical="center" wrapText="1"/>
    </xf>
    <xf numFmtId="0" fontId="46" fillId="0" borderId="8" xfId="1" applyFont="1" applyFill="1" applyBorder="1" applyAlignment="1">
      <alignment horizontal="center" vertical="center" wrapText="1"/>
    </xf>
    <xf numFmtId="0" fontId="46" fillId="0" borderId="13" xfId="1" applyFont="1" applyFill="1" applyBorder="1" applyAlignment="1">
      <alignment horizontal="center" vertical="center" wrapText="1"/>
    </xf>
    <xf numFmtId="0" fontId="46" fillId="0" borderId="37" xfId="1" applyFont="1" applyFill="1" applyBorder="1" applyAlignment="1">
      <alignment horizontal="center" vertical="center" wrapText="1"/>
    </xf>
    <xf numFmtId="0" fontId="46" fillId="0" borderId="38" xfId="1" applyFont="1" applyFill="1" applyBorder="1" applyAlignment="1">
      <alignment horizontal="center" vertical="center" wrapText="1"/>
    </xf>
    <xf numFmtId="0" fontId="49" fillId="0" borderId="11" xfId="1" applyFont="1" applyFill="1" applyBorder="1" applyAlignment="1">
      <alignment horizontal="center" vertical="center" wrapText="1"/>
    </xf>
    <xf numFmtId="0" fontId="49" fillId="0" borderId="23" xfId="1" applyFont="1" applyFill="1" applyBorder="1" applyAlignment="1">
      <alignment horizontal="center" vertical="center" wrapText="1"/>
    </xf>
    <xf numFmtId="0" fontId="49" fillId="0" borderId="40" xfId="1" applyFont="1" applyFill="1" applyBorder="1" applyAlignment="1">
      <alignment horizontal="center" vertical="center" wrapText="1"/>
    </xf>
    <xf numFmtId="0" fontId="52" fillId="0" borderId="19" xfId="1" applyFont="1" applyFill="1" applyBorder="1" applyAlignment="1">
      <alignment horizontal="center" vertical="center" wrapText="1"/>
    </xf>
    <xf numFmtId="0" fontId="52" fillId="0" borderId="26" xfId="1" applyFont="1" applyFill="1" applyBorder="1" applyAlignment="1">
      <alignment horizontal="center" vertical="center" wrapText="1"/>
    </xf>
    <xf numFmtId="0" fontId="52" fillId="0" borderId="39" xfId="1" applyFont="1" applyFill="1" applyBorder="1" applyAlignment="1">
      <alignment horizontal="center" vertical="center" wrapText="1"/>
    </xf>
    <xf numFmtId="0" fontId="46" fillId="0" borderId="6" xfId="1" applyFont="1" applyFill="1" applyBorder="1" applyAlignment="1">
      <alignment horizontal="center" vertical="center" wrapText="1"/>
    </xf>
    <xf numFmtId="1" fontId="85" fillId="9" borderId="2" xfId="0" applyNumberFormat="1" applyFont="1" applyFill="1" applyBorder="1" applyAlignment="1">
      <alignment horizontal="center" vertical="center"/>
    </xf>
    <xf numFmtId="1" fontId="85" fillId="0" borderId="2" xfId="0" applyNumberFormat="1" applyFont="1" applyFill="1" applyBorder="1" applyAlignment="1">
      <alignment horizontal="center" vertical="center"/>
    </xf>
    <xf numFmtId="1" fontId="85" fillId="0" borderId="12" xfId="0" applyNumberFormat="1" applyFont="1" applyFill="1" applyBorder="1" applyAlignment="1">
      <alignment horizontal="center" vertical="center"/>
    </xf>
    <xf numFmtId="0" fontId="85" fillId="0" borderId="54" xfId="0" applyFont="1" applyFill="1" applyBorder="1" applyAlignment="1">
      <alignment horizontal="center" vertical="center"/>
    </xf>
    <xf numFmtId="0" fontId="85" fillId="0" borderId="37" xfId="0" applyFont="1" applyFill="1" applyBorder="1" applyAlignment="1">
      <alignment horizontal="center" vertical="center"/>
    </xf>
    <xf numFmtId="0" fontId="85" fillId="0" borderId="38" xfId="0" applyFont="1" applyFill="1" applyBorder="1" applyAlignment="1">
      <alignment horizontal="center" vertical="center"/>
    </xf>
    <xf numFmtId="0" fontId="85" fillId="8" borderId="9" xfId="0" applyFont="1" applyFill="1" applyBorder="1" applyAlignment="1">
      <alignment horizontal="center" vertical="center" wrapText="1"/>
    </xf>
    <xf numFmtId="0" fontId="85" fillId="8" borderId="55" xfId="0" applyFont="1" applyFill="1" applyBorder="1" applyAlignment="1">
      <alignment horizontal="center" vertical="center" wrapText="1"/>
    </xf>
    <xf numFmtId="0" fontId="87" fillId="0" borderId="33" xfId="0" applyFont="1" applyFill="1" applyBorder="1" applyAlignment="1">
      <alignment horizontal="center" vertical="center" wrapText="1"/>
    </xf>
    <xf numFmtId="0" fontId="87" fillId="0" borderId="34" xfId="0" applyFont="1" applyFill="1" applyBorder="1" applyAlignment="1">
      <alignment horizontal="center" vertical="center" wrapText="1"/>
    </xf>
    <xf numFmtId="0" fontId="87" fillId="0" borderId="35" xfId="0" applyFont="1" applyFill="1" applyBorder="1" applyAlignment="1">
      <alignment horizontal="center" vertical="center" wrapText="1"/>
    </xf>
    <xf numFmtId="0" fontId="82" fillId="0" borderId="0" xfId="0" applyFont="1" applyFill="1" applyAlignment="1">
      <alignment horizontal="center" vertical="center"/>
    </xf>
    <xf numFmtId="0" fontId="84" fillId="0" borderId="0" xfId="0" applyFont="1" applyFill="1" applyAlignment="1">
      <alignment horizontal="center" vertical="center" wrapText="1"/>
    </xf>
    <xf numFmtId="0" fontId="85" fillId="0" borderId="4" xfId="0" applyFont="1" applyFill="1" applyBorder="1" applyAlignment="1">
      <alignment horizontal="center" vertical="center" wrapText="1"/>
    </xf>
    <xf numFmtId="0" fontId="85" fillId="0" borderId="7" xfId="0" applyFont="1" applyFill="1" applyBorder="1" applyAlignment="1">
      <alignment horizontal="center" vertical="center" wrapText="1"/>
    </xf>
    <xf numFmtId="1" fontId="86" fillId="9" borderId="1" xfId="0" applyNumberFormat="1" applyFont="1" applyFill="1" applyBorder="1" applyAlignment="1">
      <alignment horizontal="center" vertical="center" wrapText="1"/>
    </xf>
    <xf numFmtId="1" fontId="86" fillId="0" borderId="1" xfId="0" applyNumberFormat="1" applyFont="1" applyFill="1" applyBorder="1" applyAlignment="1">
      <alignment horizontal="center" vertical="center" wrapText="1"/>
    </xf>
    <xf numFmtId="1" fontId="86" fillId="0" borderId="8" xfId="0" applyNumberFormat="1" applyFont="1" applyFill="1" applyBorder="1" applyAlignment="1">
      <alignment horizontal="center" vertical="center" wrapText="1"/>
    </xf>
  </cellXfs>
  <cellStyles count="2537">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link 2" xfId="2515"/>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16" xfId="251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 2 2" xfId="2517"/>
    <cellStyle name="Normal 3 2 2 2" xfId="2518"/>
    <cellStyle name="Normal 3 2 3" xfId="2519"/>
    <cellStyle name="Normal 3 3" xfId="2520"/>
    <cellStyle name="Normal 3 3 2" xfId="2521"/>
    <cellStyle name="Normal 3 3 2 2" xfId="2522"/>
    <cellStyle name="Normal 3 3 3" xfId="2523"/>
    <cellStyle name="Normal 3 4" xfId="2524"/>
    <cellStyle name="Normal 3 4 2" xfId="2525"/>
    <cellStyle name="Normal 3 5" xfId="2526"/>
    <cellStyle name="Normal 3_Scheme MOSE-13-8-09 data up to July-09" xfId="2451"/>
    <cellStyle name="Normal 4" xfId="2452"/>
    <cellStyle name="Normal 4 2" xfId="2453"/>
    <cellStyle name="Normal 4_point 6. dis" xfId="2454"/>
    <cellStyle name="Normal 5" xfId="2455"/>
    <cellStyle name="Normal 6" xfId="2456"/>
    <cellStyle name="Normal 68" xfId="2457"/>
    <cellStyle name="Normal 7" xfId="2458"/>
    <cellStyle name="Normal 7 2" xfId="2527"/>
    <cellStyle name="Normal 7 2 2" xfId="2528"/>
    <cellStyle name="Normal 7 2 2 2" xfId="2529"/>
    <cellStyle name="Normal 7 2 3" xfId="2530"/>
    <cellStyle name="Normal 7 3" xfId="2531"/>
    <cellStyle name="Normal 7 3 2" xfId="2532"/>
    <cellStyle name="Normal 7 4" xfId="2533"/>
    <cellStyle name="Normal 8" xfId="2459"/>
    <cellStyle name="Normal 9" xfId="2460"/>
    <cellStyle name="Normal 9 2" xfId="2534"/>
    <cellStyle name="Normal 9 2 2" xfId="2535"/>
    <cellStyle name="Normal 9 3" xfId="2536"/>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view="pageBreakPreview" topLeftCell="A13" zoomScale="60" zoomScaleNormal="70" workbookViewId="0">
      <selection activeCell="D38" sqref="D38"/>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11" t="s">
        <v>0</v>
      </c>
      <c r="B5" s="311"/>
      <c r="C5" s="311"/>
      <c r="D5" s="311"/>
      <c r="E5" s="311"/>
      <c r="F5" s="311"/>
      <c r="G5" s="311"/>
      <c r="H5" s="311"/>
      <c r="I5" s="311"/>
    </row>
    <row r="6" spans="1:9" ht="18" customHeight="1">
      <c r="A6" s="87"/>
      <c r="B6" s="87"/>
      <c r="C6" s="87"/>
      <c r="D6" s="87"/>
      <c r="E6" s="87"/>
    </row>
    <row r="8" spans="1:9" ht="30">
      <c r="A8" s="312" t="s">
        <v>42</v>
      </c>
      <c r="B8" s="312"/>
      <c r="C8" s="312"/>
      <c r="D8" s="312"/>
      <c r="E8" s="312"/>
      <c r="F8" s="312"/>
      <c r="G8" s="312"/>
      <c r="H8" s="312"/>
      <c r="I8" s="312"/>
    </row>
    <row r="10" spans="1:9" ht="30">
      <c r="A10" s="312" t="s">
        <v>67</v>
      </c>
      <c r="B10" s="312"/>
      <c r="C10" s="312"/>
      <c r="D10" s="312"/>
      <c r="E10" s="312"/>
      <c r="F10" s="312"/>
      <c r="G10" s="312"/>
      <c r="H10" s="312"/>
      <c r="I10" s="312"/>
    </row>
    <row r="11" spans="1:9" ht="13.5" thickBot="1"/>
    <row r="12" spans="1:9" ht="21.6" customHeight="1">
      <c r="A12" s="88"/>
      <c r="B12" s="89"/>
      <c r="C12" s="89"/>
      <c r="D12" s="319" t="s">
        <v>16</v>
      </c>
      <c r="E12" s="319"/>
      <c r="F12" s="319" t="s">
        <v>66</v>
      </c>
      <c r="G12" s="319"/>
      <c r="H12" s="319" t="s">
        <v>17</v>
      </c>
      <c r="I12" s="320"/>
    </row>
    <row r="13" spans="1:9" ht="21.6" customHeight="1">
      <c r="A13" s="90"/>
      <c r="B13" s="49"/>
      <c r="C13" s="49"/>
      <c r="D13" s="49" t="s">
        <v>14</v>
      </c>
      <c r="E13" s="49" t="s">
        <v>15</v>
      </c>
      <c r="F13" s="49" t="s">
        <v>14</v>
      </c>
      <c r="G13" s="49" t="s">
        <v>15</v>
      </c>
      <c r="H13" s="318" t="s">
        <v>14</v>
      </c>
      <c r="I13" s="313" t="s">
        <v>15</v>
      </c>
    </row>
    <row r="14" spans="1:9" ht="26.25" customHeight="1">
      <c r="A14" s="90"/>
      <c r="B14" s="49"/>
      <c r="C14" s="49"/>
      <c r="D14" s="318" t="s">
        <v>237</v>
      </c>
      <c r="E14" s="318"/>
      <c r="F14" s="318" t="s">
        <v>238</v>
      </c>
      <c r="G14" s="318"/>
      <c r="H14" s="318"/>
      <c r="I14" s="313"/>
    </row>
    <row r="15" spans="1:9" ht="24" customHeight="1">
      <c r="A15" s="90"/>
      <c r="B15" s="49"/>
      <c r="C15" s="49"/>
      <c r="D15" s="316"/>
      <c r="E15" s="317"/>
      <c r="F15" s="314"/>
      <c r="G15" s="315"/>
      <c r="H15" s="174"/>
      <c r="I15" s="163"/>
    </row>
    <row r="16" spans="1:9" ht="21.6" customHeight="1">
      <c r="A16" s="90" t="s">
        <v>63</v>
      </c>
      <c r="B16" s="92" t="s">
        <v>47</v>
      </c>
      <c r="C16" s="49"/>
      <c r="D16" s="161"/>
      <c r="E16" s="161"/>
      <c r="F16" s="153"/>
      <c r="G16" s="153"/>
      <c r="H16" s="174"/>
      <c r="I16" s="163"/>
    </row>
    <row r="17" spans="1:11" ht="21.6" customHeight="1">
      <c r="A17" s="90">
        <v>1</v>
      </c>
      <c r="B17" s="92" t="s">
        <v>122</v>
      </c>
      <c r="C17" s="49" t="s">
        <v>61</v>
      </c>
      <c r="D17" s="308">
        <f>+E17-6749.02</f>
        <v>3167.503999999999</v>
      </c>
      <c r="E17" s="308">
        <v>9916.5239999999994</v>
      </c>
      <c r="F17" s="308">
        <v>2795.9070000000011</v>
      </c>
      <c r="G17" s="321">
        <v>8466.5570000000007</v>
      </c>
      <c r="H17" s="327">
        <f>(D17-F17)/F17</f>
        <v>0.13290749656551445</v>
      </c>
      <c r="I17" s="330">
        <f>(E17-G17)/G17</f>
        <v>0.17125816314707368</v>
      </c>
    </row>
    <row r="18" spans="1:11" ht="21.6" customHeight="1">
      <c r="A18" s="90">
        <v>2</v>
      </c>
      <c r="B18" s="92" t="s">
        <v>110</v>
      </c>
      <c r="C18" s="49" t="s">
        <v>61</v>
      </c>
      <c r="D18" s="309"/>
      <c r="E18" s="309"/>
      <c r="F18" s="309"/>
      <c r="G18" s="322"/>
      <c r="H18" s="329"/>
      <c r="I18" s="332"/>
      <c r="J18" s="211"/>
      <c r="K18" s="212"/>
    </row>
    <row r="19" spans="1:11" ht="21.6" customHeight="1">
      <c r="A19" s="90">
        <v>3</v>
      </c>
      <c r="B19" s="92" t="s">
        <v>112</v>
      </c>
      <c r="C19" s="49" t="s">
        <v>61</v>
      </c>
      <c r="D19" s="310"/>
      <c r="E19" s="310"/>
      <c r="F19" s="310"/>
      <c r="G19" s="323"/>
      <c r="H19" s="328"/>
      <c r="I19" s="331"/>
    </row>
    <row r="20" spans="1:11" ht="21.6" customHeight="1">
      <c r="A20" s="90"/>
      <c r="B20" s="92" t="s">
        <v>113</v>
      </c>
      <c r="C20" s="49" t="s">
        <v>61</v>
      </c>
      <c r="D20" s="20"/>
      <c r="E20" s="20"/>
      <c r="F20" s="20"/>
      <c r="G20" s="20"/>
      <c r="H20" s="175"/>
      <c r="I20" s="176"/>
    </row>
    <row r="21" spans="1:11" ht="21.6" customHeight="1">
      <c r="A21" s="90"/>
      <c r="B21" s="92" t="s">
        <v>114</v>
      </c>
      <c r="C21" s="49" t="s">
        <v>61</v>
      </c>
      <c r="D21" s="20"/>
      <c r="E21" s="20"/>
      <c r="F21" s="20"/>
      <c r="G21" s="20"/>
      <c r="H21" s="175"/>
      <c r="I21" s="176"/>
    </row>
    <row r="22" spans="1:11" ht="21.6" customHeight="1">
      <c r="A22" s="90"/>
      <c r="B22" s="92" t="s">
        <v>48</v>
      </c>
      <c r="C22" s="49" t="s">
        <v>61</v>
      </c>
      <c r="D22" s="171">
        <f>+D17+D20+D21</f>
        <v>3167.503999999999</v>
      </c>
      <c r="E22" s="171">
        <f>+E17+E20+E21</f>
        <v>9916.5239999999994</v>
      </c>
      <c r="F22" s="200">
        <f>+F17+F20+F21</f>
        <v>2795.9070000000011</v>
      </c>
      <c r="G22" s="200">
        <f>+G17+G20+G21</f>
        <v>8466.5570000000007</v>
      </c>
      <c r="H22" s="173">
        <f>(D22-F22)/F22</f>
        <v>0.13290749656551445</v>
      </c>
      <c r="I22" s="177">
        <f>(E22-G22)/G22</f>
        <v>0.17125816314707368</v>
      </c>
    </row>
    <row r="23" spans="1:11" ht="21.6" customHeight="1">
      <c r="A23" s="90"/>
      <c r="B23" s="92"/>
      <c r="C23" s="49"/>
      <c r="D23" s="20"/>
      <c r="E23" s="20"/>
      <c r="F23" s="20"/>
      <c r="G23" s="20"/>
      <c r="H23" s="175"/>
      <c r="I23" s="176"/>
    </row>
    <row r="24" spans="1:11" ht="21.6" customHeight="1">
      <c r="A24" s="90" t="s">
        <v>64</v>
      </c>
      <c r="B24" s="92" t="s">
        <v>49</v>
      </c>
      <c r="C24" s="49"/>
      <c r="D24" s="20"/>
      <c r="E24" s="20"/>
      <c r="F24" s="20"/>
      <c r="G24" s="20"/>
      <c r="H24" s="175"/>
      <c r="I24" s="176"/>
    </row>
    <row r="25" spans="1:11" ht="21.6" customHeight="1">
      <c r="A25" s="90">
        <v>1</v>
      </c>
      <c r="B25" s="92" t="s">
        <v>50</v>
      </c>
      <c r="C25" s="49" t="s">
        <v>61</v>
      </c>
      <c r="D25" s="171">
        <f>+D17</f>
        <v>3167.503999999999</v>
      </c>
      <c r="E25" s="171">
        <f>+E22</f>
        <v>9916.5239999999994</v>
      </c>
      <c r="F25" s="200">
        <f>+F17</f>
        <v>2795.9070000000011</v>
      </c>
      <c r="G25" s="200">
        <f>+G22</f>
        <v>8466.5570000000007</v>
      </c>
      <c r="H25" s="173">
        <f t="shared" ref="H25:I37" si="0">(D25-F25)/F25</f>
        <v>0.13290749656551445</v>
      </c>
      <c r="I25" s="177">
        <f t="shared" si="0"/>
        <v>0.17125816314707368</v>
      </c>
    </row>
    <row r="26" spans="1:11" ht="21.6" customHeight="1">
      <c r="A26" s="90">
        <v>2</v>
      </c>
      <c r="B26" s="92" t="s">
        <v>51</v>
      </c>
      <c r="C26" s="49" t="s">
        <v>61</v>
      </c>
      <c r="D26" s="171">
        <f>+D25</f>
        <v>3167.503999999999</v>
      </c>
      <c r="E26" s="171">
        <f>+E25</f>
        <v>9916.5239999999994</v>
      </c>
      <c r="F26" s="200">
        <f>+F25</f>
        <v>2795.9070000000011</v>
      </c>
      <c r="G26" s="200">
        <f>+G25</f>
        <v>8466.5570000000007</v>
      </c>
      <c r="H26" s="173">
        <f t="shared" si="0"/>
        <v>0.13290749656551445</v>
      </c>
      <c r="I26" s="177">
        <f t="shared" si="0"/>
        <v>0.17125816314707368</v>
      </c>
    </row>
    <row r="27" spans="1:11" ht="21.6" customHeight="1">
      <c r="A27" s="90">
        <v>3</v>
      </c>
      <c r="B27" s="92" t="s">
        <v>111</v>
      </c>
      <c r="C27" s="49" t="s">
        <v>61</v>
      </c>
      <c r="D27" s="171">
        <f>+E27-5859.37</f>
        <v>2730.6510000000007</v>
      </c>
      <c r="E27" s="171">
        <v>8590.0210000000006</v>
      </c>
      <c r="F27" s="237">
        <v>2392.4899999999998</v>
      </c>
      <c r="G27" s="239">
        <v>7212.34</v>
      </c>
      <c r="H27" s="173">
        <f t="shared" si="0"/>
        <v>0.14134270153689293</v>
      </c>
      <c r="I27" s="177">
        <f t="shared" si="0"/>
        <v>0.19101720107482459</v>
      </c>
    </row>
    <row r="28" spans="1:11" ht="21.6" customHeight="1">
      <c r="A28" s="90">
        <v>4</v>
      </c>
      <c r="B28" s="92" t="s">
        <v>115</v>
      </c>
      <c r="C28" s="49" t="s">
        <v>61</v>
      </c>
      <c r="D28" s="171">
        <f>+D26-D27</f>
        <v>436.85299999999825</v>
      </c>
      <c r="E28" s="171">
        <f>+E26-E27</f>
        <v>1326.5029999999988</v>
      </c>
      <c r="F28" s="200">
        <f>+F26-F27</f>
        <v>403.41700000000128</v>
      </c>
      <c r="G28" s="200">
        <f>+G26-G27</f>
        <v>1254.2170000000006</v>
      </c>
      <c r="H28" s="173">
        <f t="shared" si="0"/>
        <v>8.2881980680032968E-2</v>
      </c>
      <c r="I28" s="173">
        <f t="shared" si="0"/>
        <v>5.7634364707222281E-2</v>
      </c>
    </row>
    <row r="29" spans="1:11" ht="21.6" customHeight="1">
      <c r="A29" s="90">
        <v>5</v>
      </c>
      <c r="B29" s="92" t="s">
        <v>52</v>
      </c>
      <c r="C29" s="49" t="s">
        <v>34</v>
      </c>
      <c r="D29" s="172">
        <f>+(D28/D26)</f>
        <v>0.1379171107597649</v>
      </c>
      <c r="E29" s="172">
        <f>+(E28/E26)</f>
        <v>0.13376693284864724</v>
      </c>
      <c r="F29" s="226">
        <f>+(F28/F26)</f>
        <v>0.14428841874926496</v>
      </c>
      <c r="G29" s="226">
        <f>+(G28/G26)</f>
        <v>0.14813778493430096</v>
      </c>
      <c r="H29" s="173">
        <f>D29-F29</f>
        <v>-6.3713079895000579E-3</v>
      </c>
      <c r="I29" s="173">
        <f>E29-G29</f>
        <v>-1.4370852085653724E-2</v>
      </c>
    </row>
    <row r="30" spans="1:11" ht="21.6" customHeight="1">
      <c r="A30" s="90"/>
      <c r="B30" s="92"/>
      <c r="C30" s="49"/>
      <c r="D30" s="20"/>
      <c r="E30" s="20"/>
      <c r="F30" s="200"/>
      <c r="G30" s="200"/>
      <c r="H30" s="173"/>
      <c r="I30" s="177"/>
    </row>
    <row r="31" spans="1:11" ht="21.6" customHeight="1">
      <c r="A31" s="90" t="s">
        <v>65</v>
      </c>
      <c r="B31" s="92" t="s">
        <v>53</v>
      </c>
      <c r="C31" s="49"/>
      <c r="D31" s="20"/>
      <c r="E31" s="20"/>
      <c r="F31" s="200"/>
      <c r="G31" s="200"/>
      <c r="H31" s="173"/>
      <c r="I31" s="177"/>
    </row>
    <row r="32" spans="1:11" ht="21.6" customHeight="1">
      <c r="A32" s="90">
        <v>1</v>
      </c>
      <c r="B32" s="92" t="s">
        <v>54</v>
      </c>
      <c r="C32" s="325" t="s">
        <v>62</v>
      </c>
      <c r="D32" s="308">
        <f>+E32-4014.57</f>
        <v>2090.1199999999994</v>
      </c>
      <c r="E32" s="308">
        <f>+'SHEET-5'!E25+67.46+74.76+74.66+77.48+78.83+78.67+77.94+81.83+70.78</f>
        <v>6104.69</v>
      </c>
      <c r="F32" s="308">
        <f>+G32-3428.53</f>
        <v>1736.7199999999998</v>
      </c>
      <c r="G32" s="308">
        <f>+'SHEET-5'!G25+37.1+15.47+85.46+97.8+74.07+70.26+70.61+76.06+65.91</f>
        <v>5165.25</v>
      </c>
      <c r="H32" s="327">
        <f t="shared" si="0"/>
        <v>0.20348703302777632</v>
      </c>
      <c r="I32" s="330">
        <f t="shared" si="0"/>
        <v>0.18187696626494354</v>
      </c>
    </row>
    <row r="33" spans="1:9" ht="21.6" customHeight="1">
      <c r="A33" s="90">
        <v>2</v>
      </c>
      <c r="B33" s="92" t="s">
        <v>55</v>
      </c>
      <c r="C33" s="326"/>
      <c r="D33" s="310"/>
      <c r="E33" s="310"/>
      <c r="F33" s="310"/>
      <c r="G33" s="310"/>
      <c r="H33" s="328"/>
      <c r="I33" s="331"/>
    </row>
    <row r="34" spans="1:9" ht="21.6" customHeight="1">
      <c r="A34" s="90">
        <v>3</v>
      </c>
      <c r="B34" s="92" t="s">
        <v>56</v>
      </c>
      <c r="C34" s="49" t="s">
        <v>62</v>
      </c>
      <c r="D34" s="171">
        <f>+D32</f>
        <v>2090.1199999999994</v>
      </c>
      <c r="E34" s="171">
        <f>+E32</f>
        <v>6104.69</v>
      </c>
      <c r="F34" s="200">
        <f>+F32</f>
        <v>1736.7199999999998</v>
      </c>
      <c r="G34" s="200">
        <f>+G32</f>
        <v>5165.25</v>
      </c>
      <c r="H34" s="173">
        <f t="shared" si="0"/>
        <v>0.20348703302777632</v>
      </c>
      <c r="I34" s="177">
        <f t="shared" si="0"/>
        <v>0.18187696626494354</v>
      </c>
    </row>
    <row r="35" spans="1:9" ht="21.6" customHeight="1">
      <c r="A35" s="90">
        <v>4</v>
      </c>
      <c r="B35" s="92" t="s">
        <v>57</v>
      </c>
      <c r="C35" s="325" t="s">
        <v>62</v>
      </c>
      <c r="D35" s="321">
        <f>+D34*102.89%</f>
        <v>2150.5244679999992</v>
      </c>
      <c r="E35" s="321">
        <f>+E34*98.2%</f>
        <v>5994.8055799999993</v>
      </c>
      <c r="F35" s="321">
        <f>+G35-3274.48+0.25</f>
        <v>1745.8799999999997</v>
      </c>
      <c r="G35" s="321">
        <v>5020.1099999999997</v>
      </c>
      <c r="H35" s="327">
        <f t="shared" si="0"/>
        <v>0.23177106559442778</v>
      </c>
      <c r="I35" s="330">
        <f t="shared" si="0"/>
        <v>0.19415821167265251</v>
      </c>
    </row>
    <row r="36" spans="1:9" ht="21.6" customHeight="1">
      <c r="A36" s="90">
        <v>5</v>
      </c>
      <c r="B36" s="92" t="s">
        <v>58</v>
      </c>
      <c r="C36" s="326"/>
      <c r="D36" s="323"/>
      <c r="E36" s="323"/>
      <c r="F36" s="323"/>
      <c r="G36" s="323"/>
      <c r="H36" s="328"/>
      <c r="I36" s="331"/>
    </row>
    <row r="37" spans="1:9" ht="21.6" customHeight="1">
      <c r="A37" s="90">
        <v>6</v>
      </c>
      <c r="B37" s="92" t="s">
        <v>59</v>
      </c>
      <c r="C37" s="49" t="s">
        <v>62</v>
      </c>
      <c r="D37" s="203">
        <f>+D35</f>
        <v>2150.5244679999992</v>
      </c>
      <c r="E37" s="203">
        <f>+E35</f>
        <v>5994.8055799999993</v>
      </c>
      <c r="F37" s="200">
        <f>+F35</f>
        <v>1745.8799999999997</v>
      </c>
      <c r="G37" s="200">
        <f>+G35</f>
        <v>5020.1099999999997</v>
      </c>
      <c r="H37" s="173">
        <f t="shared" si="0"/>
        <v>0.23177106559442778</v>
      </c>
      <c r="I37" s="177">
        <f t="shared" si="0"/>
        <v>0.19415821167265251</v>
      </c>
    </row>
    <row r="38" spans="1:9" ht="21.6" customHeight="1">
      <c r="A38" s="90">
        <v>7</v>
      </c>
      <c r="B38" s="92" t="s">
        <v>60</v>
      </c>
      <c r="C38" s="49" t="s">
        <v>34</v>
      </c>
      <c r="D38" s="204">
        <f>+D37/D34</f>
        <v>1.0288999999999999</v>
      </c>
      <c r="E38" s="204">
        <f>+E37/E34</f>
        <v>0.98199999999999998</v>
      </c>
      <c r="F38" s="195">
        <f t="shared" ref="F38:G38" si="1">F37/F34</f>
        <v>1.0052743101939288</v>
      </c>
      <c r="G38" s="195">
        <f t="shared" si="1"/>
        <v>0.97190068244518657</v>
      </c>
      <c r="H38" s="173">
        <f>D38-F38</f>
        <v>2.362568980607116E-2</v>
      </c>
      <c r="I38" s="173">
        <f>E38-G38</f>
        <v>1.0099317554813414E-2</v>
      </c>
    </row>
    <row r="39" spans="1:9" ht="21.6" customHeight="1" thickBot="1">
      <c r="A39" s="94"/>
      <c r="B39" s="95"/>
      <c r="C39" s="21"/>
      <c r="D39" s="162"/>
      <c r="E39" s="162"/>
      <c r="F39" s="21"/>
      <c r="G39" s="21"/>
      <c r="H39" s="162"/>
      <c r="I39" s="164"/>
    </row>
    <row r="40" spans="1:9" ht="18">
      <c r="F40" s="96"/>
      <c r="G40" s="96"/>
      <c r="H40" s="5"/>
      <c r="I40" s="5"/>
    </row>
    <row r="42" spans="1:9">
      <c r="E42" s="205"/>
    </row>
    <row r="43" spans="1:9" ht="41.25" customHeight="1">
      <c r="A43" s="324"/>
      <c r="B43" s="324"/>
      <c r="D43" s="235"/>
      <c r="E43" s="24"/>
      <c r="F43" s="216"/>
    </row>
    <row r="47" spans="1:9" ht="18">
      <c r="D47" s="187"/>
      <c r="E47" s="187"/>
      <c r="F47" s="215"/>
    </row>
    <row r="48" spans="1:9" ht="20.25">
      <c r="F48" s="216"/>
    </row>
    <row r="56" spans="4:4">
      <c r="D56" s="97"/>
    </row>
  </sheetData>
  <mergeCells count="33">
    <mergeCell ref="H35:H36"/>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F17:F19"/>
    <mergeCell ref="G17:G19"/>
  </mergeCells>
  <phoneticPr fontId="3"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D24" sqref="D24"/>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33" t="s">
        <v>0</v>
      </c>
      <c r="B5" s="333"/>
      <c r="C5" s="333"/>
      <c r="D5" s="333"/>
      <c r="E5" s="333"/>
      <c r="F5" s="333"/>
      <c r="G5" s="333"/>
      <c r="H5" s="333"/>
      <c r="I5" s="333"/>
    </row>
    <row r="6" spans="1:9" ht="18" customHeight="1">
      <c r="A6" s="87"/>
      <c r="B6" s="87"/>
      <c r="C6" s="87"/>
      <c r="D6" s="87"/>
      <c r="E6" s="87"/>
    </row>
    <row r="8" spans="1:9" ht="30">
      <c r="A8" s="312" t="s">
        <v>79</v>
      </c>
      <c r="B8" s="312"/>
      <c r="C8" s="312"/>
      <c r="D8" s="312"/>
      <c r="E8" s="312"/>
      <c r="F8" s="312"/>
      <c r="G8" s="312"/>
      <c r="H8" s="312"/>
      <c r="I8" s="312"/>
    </row>
    <row r="10" spans="1:9" ht="30">
      <c r="A10" s="312" t="s">
        <v>78</v>
      </c>
      <c r="B10" s="312"/>
      <c r="C10" s="312"/>
      <c r="D10" s="312"/>
      <c r="E10" s="312"/>
      <c r="F10" s="312"/>
      <c r="G10" s="312"/>
      <c r="H10" s="312"/>
      <c r="I10" s="312"/>
    </row>
    <row r="11" spans="1:9" ht="13.5" thickBot="1"/>
    <row r="12" spans="1:9" ht="24" customHeight="1">
      <c r="A12" s="88"/>
      <c r="B12" s="89"/>
      <c r="C12" s="89"/>
      <c r="D12" s="319" t="s">
        <v>16</v>
      </c>
      <c r="E12" s="319"/>
      <c r="F12" s="319" t="s">
        <v>66</v>
      </c>
      <c r="G12" s="319"/>
      <c r="H12" s="334" t="s">
        <v>17</v>
      </c>
      <c r="I12" s="320"/>
    </row>
    <row r="13" spans="1:9" ht="24" customHeight="1">
      <c r="A13" s="90"/>
      <c r="B13" s="49"/>
      <c r="C13" s="49"/>
      <c r="D13" s="49" t="s">
        <v>14</v>
      </c>
      <c r="E13" s="49" t="s">
        <v>15</v>
      </c>
      <c r="F13" s="49" t="s">
        <v>14</v>
      </c>
      <c r="G13" s="49" t="s">
        <v>15</v>
      </c>
      <c r="H13" s="318" t="s">
        <v>14</v>
      </c>
      <c r="I13" s="335" t="s">
        <v>15</v>
      </c>
    </row>
    <row r="14" spans="1:9" ht="33" customHeight="1">
      <c r="A14" s="90"/>
      <c r="B14" s="49"/>
      <c r="C14" s="49"/>
      <c r="D14" s="318" t="str">
        <f>+'SHEET-1'!D14:E14</f>
        <v>Oct-2021 to Dec-2021</v>
      </c>
      <c r="E14" s="318"/>
      <c r="F14" s="318" t="str">
        <f>+'SHEET-1'!F14:G14</f>
        <v>Oct-2020 to Dec-2020</v>
      </c>
      <c r="G14" s="318"/>
      <c r="H14" s="318"/>
      <c r="I14" s="335"/>
    </row>
    <row r="15" spans="1:9" ht="24" customHeight="1">
      <c r="A15" s="90" t="s">
        <v>63</v>
      </c>
      <c r="B15" s="49" t="s">
        <v>76</v>
      </c>
      <c r="C15" s="49"/>
      <c r="D15" s="167"/>
      <c r="E15" s="167"/>
      <c r="F15" s="167"/>
      <c r="G15" s="167"/>
      <c r="H15" s="167"/>
      <c r="I15" s="168"/>
    </row>
    <row r="16" spans="1:9" ht="24" customHeight="1">
      <c r="A16" s="90">
        <v>1</v>
      </c>
      <c r="B16" s="92" t="s">
        <v>123</v>
      </c>
      <c r="C16" s="49" t="s">
        <v>77</v>
      </c>
      <c r="D16" s="189">
        <f>ROUND(+('SHEET-3'!D15/'SHEET-1'!D22)*10,2)</f>
        <v>5.46</v>
      </c>
      <c r="E16" s="171">
        <f>ROUND(+('SHEET-3'!E15/'SHEET-1'!E22)*10,2)</f>
        <v>5.01</v>
      </c>
      <c r="F16" s="189">
        <f>ROUND(+('SHEET-3'!F15/'SHEET-1'!F22)*10,2)</f>
        <v>4.71</v>
      </c>
      <c r="G16" s="189">
        <f>ROUND(+('SHEET-3'!G15/'SHEET-1'!G22)*10,2)</f>
        <v>4.74</v>
      </c>
      <c r="H16" s="172">
        <f>(D16-F16)/F16</f>
        <v>0.15923566878980891</v>
      </c>
      <c r="I16" s="170">
        <f>(E16-G16)/G16</f>
        <v>5.6962025316455604E-2</v>
      </c>
    </row>
    <row r="17" spans="1:12" ht="24" customHeight="1">
      <c r="A17" s="90">
        <v>2</v>
      </c>
      <c r="B17" s="92" t="s">
        <v>69</v>
      </c>
      <c r="C17" s="49" t="s">
        <v>77</v>
      </c>
      <c r="D17" s="171"/>
      <c r="E17" s="171"/>
      <c r="F17" s="195"/>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7.4</v>
      </c>
      <c r="E21" s="189">
        <f>ROUND(+('SHEET-3'!E23/'SHEET-1'!E27)*10,2)</f>
        <v>6.71</v>
      </c>
      <c r="F21" s="189">
        <f>ROUND(+('SHEET-3'!F23/'SHEET-1'!F27)*10,2)</f>
        <v>6.54</v>
      </c>
      <c r="G21" s="189">
        <f>ROUND(+('SHEET-3'!G23/'SHEET-1'!G27)*10,2)</f>
        <v>6.63</v>
      </c>
      <c r="H21" s="172">
        <f>(D21-F21)/F21</f>
        <v>0.13149847094801229</v>
      </c>
      <c r="I21" s="170">
        <f>(E21-G21)/G21</f>
        <v>1.2066365007541489E-2</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7.12</v>
      </c>
      <c r="E24" s="189">
        <f>ROUND(+'SHEET-5'!E32/100,2)</f>
        <v>6.71</v>
      </c>
      <c r="F24" s="189">
        <f>ROUND(+'SHEET-5'!F32/100,2)</f>
        <v>8</v>
      </c>
      <c r="G24" s="189">
        <f>ROUND(+'SHEET-5'!G32/100,2)</f>
        <v>7.94</v>
      </c>
      <c r="H24" s="172">
        <f t="shared" ref="H24:I26" si="0">(D24-F24)/F24</f>
        <v>-0.10999999999999999</v>
      </c>
      <c r="I24" s="170">
        <f t="shared" si="0"/>
        <v>-0.15491183879093204</v>
      </c>
      <c r="K24" s="98"/>
      <c r="L24" s="98"/>
    </row>
    <row r="25" spans="1:12" ht="24" customHeight="1">
      <c r="A25" s="90">
        <v>2</v>
      </c>
      <c r="B25" s="92" t="s">
        <v>73</v>
      </c>
      <c r="C25" s="49" t="s">
        <v>77</v>
      </c>
      <c r="D25" s="171">
        <f>ROUND(+'SHEET-5'!D39/100,2)</f>
        <v>6.5</v>
      </c>
      <c r="E25" s="189">
        <f>ROUND(+'SHEET-5'!E39/100,2)</f>
        <v>6</v>
      </c>
      <c r="F25" s="189">
        <f>ROUND(+'SHEET-5'!F39/100,2)</f>
        <v>5.27</v>
      </c>
      <c r="G25" s="189">
        <f>ROUND(+'SHEET-5'!G39/100,2)</f>
        <v>5.53</v>
      </c>
      <c r="H25" s="172">
        <f t="shared" si="0"/>
        <v>0.23339658444022782</v>
      </c>
      <c r="I25" s="170">
        <f t="shared" si="0"/>
        <v>8.4990958408679873E-2</v>
      </c>
      <c r="K25" s="98"/>
      <c r="L25" s="98"/>
    </row>
    <row r="26" spans="1:12" ht="24" customHeight="1">
      <c r="A26" s="99">
        <v>3</v>
      </c>
      <c r="B26" s="100" t="s">
        <v>74</v>
      </c>
      <c r="C26" s="49" t="s">
        <v>77</v>
      </c>
      <c r="D26" s="165">
        <f>ROUND(+'SHEET-5'!D40/100,2)</f>
        <v>6.81</v>
      </c>
      <c r="E26" s="188">
        <f>ROUND(+'SHEET-5'!E40/100,2)</f>
        <v>6.31</v>
      </c>
      <c r="F26" s="188">
        <f>ROUND(+'SHEET-5'!F40/100,2)</f>
        <v>6.37</v>
      </c>
      <c r="G26" s="188">
        <f>ROUND(+'SHEET-5'!G40/100,2)</f>
        <v>6.34</v>
      </c>
      <c r="H26" s="172">
        <f t="shared" si="0"/>
        <v>6.907378335949757E-2</v>
      </c>
      <c r="I26" s="170">
        <f t="shared" si="0"/>
        <v>-4.7318611987382094E-3</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24"/>
      <c r="B35" s="324"/>
    </row>
  </sheetData>
  <mergeCells count="11">
    <mergeCell ref="A5:I5"/>
    <mergeCell ref="A35:B35"/>
    <mergeCell ref="H12:I12"/>
    <mergeCell ref="H13:H14"/>
    <mergeCell ref="I13:I14"/>
    <mergeCell ref="D14:E14"/>
    <mergeCell ref="D12:E12"/>
    <mergeCell ref="F12:G12"/>
    <mergeCell ref="F14:G14"/>
    <mergeCell ref="A10:I10"/>
    <mergeCell ref="A8:I8"/>
  </mergeCells>
  <phoneticPr fontId="3"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9" zoomScale="60" zoomScaleNormal="60" workbookViewId="0">
      <selection activeCell="D32" sqref="D32"/>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36" t="s">
        <v>0</v>
      </c>
      <c r="B5" s="336"/>
      <c r="C5" s="336"/>
      <c r="D5" s="336"/>
      <c r="E5" s="336"/>
      <c r="F5" s="336"/>
      <c r="G5" s="336"/>
      <c r="H5" s="336"/>
      <c r="I5" s="336"/>
    </row>
    <row r="6" spans="1:11" ht="18" customHeight="1">
      <c r="A6" s="87"/>
      <c r="B6" s="87"/>
      <c r="C6" s="87"/>
      <c r="D6" s="87"/>
      <c r="E6" s="87"/>
    </row>
    <row r="8" spans="1:11" ht="27.75">
      <c r="A8" s="337" t="s">
        <v>42</v>
      </c>
      <c r="B8" s="337"/>
      <c r="C8" s="337"/>
      <c r="D8" s="337"/>
      <c r="E8" s="337"/>
      <c r="F8" s="337"/>
      <c r="G8" s="337"/>
      <c r="H8" s="337"/>
      <c r="I8" s="337"/>
    </row>
    <row r="10" spans="1:11" ht="27.75">
      <c r="A10" s="337" t="s">
        <v>41</v>
      </c>
      <c r="B10" s="337"/>
      <c r="C10" s="337"/>
      <c r="D10" s="337"/>
      <c r="E10" s="337"/>
      <c r="F10" s="337"/>
      <c r="G10" s="337"/>
      <c r="H10" s="337"/>
      <c r="I10" s="337"/>
    </row>
    <row r="11" spans="1:11" ht="13.5" thickBot="1"/>
    <row r="12" spans="1:11" ht="21.6" customHeight="1">
      <c r="A12" s="88"/>
      <c r="B12" s="89"/>
      <c r="C12" s="89"/>
      <c r="D12" s="319" t="s">
        <v>105</v>
      </c>
      <c r="E12" s="319"/>
      <c r="F12" s="319" t="s">
        <v>66</v>
      </c>
      <c r="G12" s="319"/>
      <c r="H12" s="319" t="s">
        <v>17</v>
      </c>
      <c r="I12" s="320"/>
    </row>
    <row r="13" spans="1:11" ht="21.6" customHeight="1">
      <c r="A13" s="90"/>
      <c r="B13" s="49"/>
      <c r="C13" s="49"/>
      <c r="D13" s="49" t="s">
        <v>14</v>
      </c>
      <c r="E13" s="49" t="s">
        <v>15</v>
      </c>
      <c r="F13" s="49" t="s">
        <v>14</v>
      </c>
      <c r="G13" s="49" t="s">
        <v>15</v>
      </c>
      <c r="H13" s="318" t="s">
        <v>14</v>
      </c>
      <c r="I13" s="313" t="s">
        <v>15</v>
      </c>
    </row>
    <row r="14" spans="1:11" ht="33" customHeight="1">
      <c r="A14" s="90"/>
      <c r="B14" s="49"/>
      <c r="C14" s="49"/>
      <c r="D14" s="318" t="str">
        <f>+'SHEET-2'!D14:E14</f>
        <v>Oct-2021 to Dec-2021</v>
      </c>
      <c r="E14" s="318"/>
      <c r="F14" s="318" t="str">
        <f>+'SHEET-2'!F14:G14</f>
        <v>Oct-2020 to Dec-2020</v>
      </c>
      <c r="G14" s="318"/>
      <c r="H14" s="325"/>
      <c r="I14" s="313"/>
    </row>
    <row r="15" spans="1:11" ht="24" customHeight="1">
      <c r="A15" s="90">
        <v>1</v>
      </c>
      <c r="B15" s="92" t="s">
        <v>125</v>
      </c>
      <c r="C15" s="49" t="s">
        <v>13</v>
      </c>
      <c r="D15" s="171">
        <f>+E15-3234.51</f>
        <v>1730.0199999999995</v>
      </c>
      <c r="E15" s="171">
        <v>4964.53</v>
      </c>
      <c r="F15" s="237">
        <f>+G15-2696.96</f>
        <v>1317.4899999999998</v>
      </c>
      <c r="G15" s="200">
        <v>4014.45</v>
      </c>
      <c r="H15" s="172">
        <f t="shared" ref="H15:I21" si="0">(D15-F15)/F15</f>
        <v>0.31311812613378454</v>
      </c>
      <c r="I15" s="179">
        <f t="shared" si="0"/>
        <v>0.23666504751584899</v>
      </c>
      <c r="J15" s="201"/>
      <c r="K15" s="212"/>
    </row>
    <row r="16" spans="1:11" ht="24" customHeight="1">
      <c r="A16" s="90">
        <v>2</v>
      </c>
      <c r="B16" s="92" t="s">
        <v>25</v>
      </c>
      <c r="C16" s="49" t="s">
        <v>13</v>
      </c>
      <c r="D16" s="171">
        <f>+E16-263.1</f>
        <v>171.89</v>
      </c>
      <c r="E16" s="171">
        <f>+'SHEET-7'!C23</f>
        <v>434.99</v>
      </c>
      <c r="F16" s="237">
        <f>+G16-264.72</f>
        <v>132.35999999999996</v>
      </c>
      <c r="G16" s="203">
        <f>+'SHEET-7'!D23</f>
        <v>397.08</v>
      </c>
      <c r="H16" s="172">
        <f t="shared" si="0"/>
        <v>0.29865518283469356</v>
      </c>
      <c r="I16" s="179">
        <f t="shared" si="0"/>
        <v>9.5471945199959773E-2</v>
      </c>
      <c r="J16" s="201"/>
    </row>
    <row r="17" spans="1:13" ht="24" customHeight="1">
      <c r="A17" s="90">
        <v>3</v>
      </c>
      <c r="B17" s="92" t="s">
        <v>26</v>
      </c>
      <c r="C17" s="49" t="s">
        <v>13</v>
      </c>
      <c r="D17" s="171">
        <f>+E17-27.25</f>
        <v>12.810000000000002</v>
      </c>
      <c r="E17" s="171">
        <f>+'SHEET-7'!C29</f>
        <v>40.06</v>
      </c>
      <c r="F17" s="237">
        <f>+G17-32.79</f>
        <v>16.399999999999999</v>
      </c>
      <c r="G17" s="203">
        <f>+'SHEET-7'!D29</f>
        <v>49.19</v>
      </c>
      <c r="H17" s="172">
        <f t="shared" si="0"/>
        <v>-0.21890243902439005</v>
      </c>
      <c r="I17" s="179">
        <f t="shared" si="0"/>
        <v>-0.18560683065663744</v>
      </c>
      <c r="J17" s="201"/>
    </row>
    <row r="18" spans="1:13" ht="24" customHeight="1">
      <c r="A18" s="90">
        <v>4</v>
      </c>
      <c r="B18" s="92" t="s">
        <v>27</v>
      </c>
      <c r="C18" s="49" t="s">
        <v>13</v>
      </c>
      <c r="D18" s="171">
        <f>+E18-40.64</f>
        <v>19.259999999999998</v>
      </c>
      <c r="E18" s="171">
        <f>+'SHEET-7'!C24</f>
        <v>59.9</v>
      </c>
      <c r="F18" s="237">
        <f>+G18-32.39</f>
        <v>16.189999999999998</v>
      </c>
      <c r="G18" s="203">
        <f>+'SHEET-7'!D24</f>
        <v>48.58</v>
      </c>
      <c r="H18" s="172">
        <f t="shared" si="0"/>
        <v>0.18962322421247688</v>
      </c>
      <c r="I18" s="179">
        <f>(E18-G18)/G18</f>
        <v>0.23301770275833678</v>
      </c>
      <c r="J18" s="201"/>
      <c r="L18" s="107"/>
      <c r="M18" s="107"/>
    </row>
    <row r="19" spans="1:13" ht="24" customHeight="1">
      <c r="A19" s="90">
        <v>5</v>
      </c>
      <c r="B19" s="92" t="s">
        <v>28</v>
      </c>
      <c r="C19" s="49" t="s">
        <v>13</v>
      </c>
      <c r="D19" s="171">
        <f>+E19-142.73</f>
        <v>58.710000000000008</v>
      </c>
      <c r="E19" s="171">
        <f>+'SHEET-7'!C28</f>
        <v>201.44</v>
      </c>
      <c r="F19" s="237">
        <f>+G19-140.7</f>
        <v>70.350000000000023</v>
      </c>
      <c r="G19" s="203">
        <f>+'SHEET-7'!D28</f>
        <v>211.05</v>
      </c>
      <c r="H19" s="172">
        <f t="shared" si="0"/>
        <v>-0.16545842217484025</v>
      </c>
      <c r="I19" s="179">
        <f>(E19-G19)/G19</f>
        <v>-4.5534233593935151E-2</v>
      </c>
      <c r="J19" s="201"/>
      <c r="L19" s="108"/>
      <c r="M19" s="108"/>
    </row>
    <row r="20" spans="1:13" ht="24" customHeight="1">
      <c r="A20" s="90">
        <v>6</v>
      </c>
      <c r="B20" s="92" t="s">
        <v>29</v>
      </c>
      <c r="C20" s="49" t="s">
        <v>13</v>
      </c>
      <c r="D20" s="171">
        <f>+E20-42.19</f>
        <v>20.940000000000005</v>
      </c>
      <c r="E20" s="171">
        <f>+'SHEET-7'!C25</f>
        <v>63.13</v>
      </c>
      <c r="F20" s="237">
        <f>+G20-40.53</f>
        <v>20.259999999999998</v>
      </c>
      <c r="G20" s="203">
        <f>+'SHEET-7'!D25</f>
        <v>60.79</v>
      </c>
      <c r="H20" s="180">
        <f t="shared" si="0"/>
        <v>3.3563672260612382E-2</v>
      </c>
      <c r="I20" s="181">
        <f>(E20-G20)/G20</f>
        <v>3.8493173219279544E-2</v>
      </c>
      <c r="J20" s="201"/>
      <c r="L20" s="108"/>
      <c r="M20" s="108"/>
    </row>
    <row r="21" spans="1:13" ht="24" customHeight="1">
      <c r="A21" s="90" t="s">
        <v>116</v>
      </c>
      <c r="B21" s="92" t="s">
        <v>117</v>
      </c>
      <c r="C21" s="49" t="s">
        <v>13</v>
      </c>
      <c r="D21" s="200">
        <f>+E21+20.11</f>
        <v>-7.09</v>
      </c>
      <c r="E21" s="171">
        <f>+'SHEET-7'!C32</f>
        <v>-27.2</v>
      </c>
      <c r="F21" s="237">
        <f>+G21+26.08</f>
        <v>-13.050000000000004</v>
      </c>
      <c r="G21" s="203">
        <f>+'SHEET-7'!D32</f>
        <v>-39.130000000000003</v>
      </c>
      <c r="H21" s="196">
        <f t="shared" si="0"/>
        <v>-0.45670498084291206</v>
      </c>
      <c r="I21" s="196">
        <f t="shared" si="0"/>
        <v>-0.30488116534628168</v>
      </c>
      <c r="J21" s="201"/>
      <c r="L21" s="108"/>
      <c r="M21" s="108"/>
    </row>
    <row r="22" spans="1:13" ht="24" customHeight="1">
      <c r="A22" s="90">
        <v>7</v>
      </c>
      <c r="B22" s="92" t="s">
        <v>124</v>
      </c>
      <c r="C22" s="49" t="s">
        <v>13</v>
      </c>
      <c r="D22" s="171">
        <f>+E22-12.28</f>
        <v>13.69</v>
      </c>
      <c r="E22" s="171">
        <f>+'SHEET-7'!C26</f>
        <v>25.97</v>
      </c>
      <c r="F22" s="237">
        <f>+G22-45.03+12</f>
        <v>5.1299999999999955</v>
      </c>
      <c r="G22" s="203">
        <f>+'SHEET-7'!D26</f>
        <v>38.159999999999997</v>
      </c>
      <c r="H22" s="217">
        <f t="shared" ref="H22" si="1">(D22-F22)/F22</f>
        <v>1.6686159844054604</v>
      </c>
      <c r="I22" s="217">
        <f t="shared" ref="I22" si="2">(E22-G22)/G22</f>
        <v>-0.31944444444444442</v>
      </c>
      <c r="J22" s="201"/>
      <c r="L22" s="108"/>
      <c r="M22" s="108"/>
    </row>
    <row r="23" spans="1:13" ht="24" customHeight="1">
      <c r="A23" s="90">
        <v>8</v>
      </c>
      <c r="B23" s="92" t="s">
        <v>30</v>
      </c>
      <c r="C23" s="49" t="s">
        <v>13</v>
      </c>
      <c r="D23" s="22">
        <f>+SUM(D15:D22)</f>
        <v>2020.2299999999996</v>
      </c>
      <c r="E23" s="22">
        <f>+SUM(E15:E22)</f>
        <v>5762.82</v>
      </c>
      <c r="F23" s="203">
        <f>+SUM(F15:F22)</f>
        <v>1565.13</v>
      </c>
      <c r="G23" s="203">
        <f>+SUM(G15:G22)</f>
        <v>4780.1699999999992</v>
      </c>
      <c r="H23" s="172">
        <f t="shared" ref="H23:I32" si="3">(D23-F23)/F23</f>
        <v>0.29077456824672676</v>
      </c>
      <c r="I23" s="179">
        <f t="shared" si="3"/>
        <v>0.20556800281161564</v>
      </c>
      <c r="J23" s="97"/>
    </row>
    <row r="24" spans="1:13" ht="24" customHeight="1">
      <c r="A24" s="90"/>
      <c r="B24" s="229" t="s">
        <v>233</v>
      </c>
      <c r="C24" s="221"/>
      <c r="D24" s="22"/>
      <c r="E24" s="22"/>
      <c r="F24" s="222"/>
      <c r="G24" s="222"/>
      <c r="H24" s="223"/>
      <c r="I24" s="179"/>
      <c r="J24" s="97"/>
    </row>
    <row r="25" spans="1:13" ht="24" customHeight="1">
      <c r="A25" s="90">
        <v>9</v>
      </c>
      <c r="B25" s="92" t="s">
        <v>87</v>
      </c>
      <c r="C25" s="221" t="s">
        <v>13</v>
      </c>
      <c r="D25" s="200">
        <f>+E25-73.13</f>
        <v>29.88000000000001</v>
      </c>
      <c r="E25" s="200">
        <f>+'SHEET-7'!C14</f>
        <v>103.01</v>
      </c>
      <c r="F25" s="237">
        <f>+G25-77.55</f>
        <v>38.769999999999996</v>
      </c>
      <c r="G25" s="222">
        <f>+'SHEET-7'!D14</f>
        <v>116.32</v>
      </c>
      <c r="H25" s="223">
        <f t="shared" ref="H25" si="4">(D25-F25)/F25</f>
        <v>-0.22930100593242164</v>
      </c>
      <c r="I25" s="179">
        <f t="shared" ref="I25" si="5">(E25-G25)/G25</f>
        <v>-0.11442572214580458</v>
      </c>
    </row>
    <row r="26" spans="1:13" ht="24" customHeight="1">
      <c r="A26" s="90">
        <v>10</v>
      </c>
      <c r="B26" s="92" t="s">
        <v>107</v>
      </c>
      <c r="C26" s="49" t="s">
        <v>13</v>
      </c>
      <c r="D26" s="171">
        <f>+E26-3562.71</f>
        <v>1859.5700000000006</v>
      </c>
      <c r="E26" s="171">
        <f>+'SHEET-7'!C11</f>
        <v>5422.2800000000007</v>
      </c>
      <c r="F26" s="237">
        <f>+G26-3048.37</f>
        <v>1524.1400000000003</v>
      </c>
      <c r="G26" s="203">
        <f>+'SHEET-7'!D11</f>
        <v>4572.51</v>
      </c>
      <c r="H26" s="172">
        <f t="shared" ref="H26:I28" si="6">(D26-F26)/F26</f>
        <v>0.22007820803863176</v>
      </c>
      <c r="I26" s="170">
        <f t="shared" si="6"/>
        <v>0.18584322396233149</v>
      </c>
    </row>
    <row r="27" spans="1:13" ht="24" customHeight="1">
      <c r="A27" s="90">
        <v>11</v>
      </c>
      <c r="B27" s="92" t="s">
        <v>33</v>
      </c>
      <c r="C27" s="49" t="s">
        <v>13</v>
      </c>
      <c r="D27" s="171">
        <f>+E27-42.42</f>
        <v>16.32</v>
      </c>
      <c r="E27" s="171">
        <f>+'SHEET-7'!C13</f>
        <v>58.74</v>
      </c>
      <c r="F27" s="237">
        <f>+G27-31.29</f>
        <v>19.910000000000004</v>
      </c>
      <c r="G27" s="203">
        <f>+'SHEET-7'!D13</f>
        <v>51.2</v>
      </c>
      <c r="H27" s="172">
        <f t="shared" si="6"/>
        <v>-0.18031140130587658</v>
      </c>
      <c r="I27" s="170">
        <f t="shared" si="6"/>
        <v>0.14726562499999998</v>
      </c>
    </row>
    <row r="28" spans="1:13" ht="24" customHeight="1">
      <c r="A28" s="90">
        <v>12</v>
      </c>
      <c r="B28" s="92" t="s">
        <v>224</v>
      </c>
      <c r="C28" s="49" t="s">
        <v>13</v>
      </c>
      <c r="D28" s="171">
        <f>+E28-105.49</f>
        <v>18.11</v>
      </c>
      <c r="E28" s="171">
        <f>+'SHEET-7'!C12</f>
        <v>123.6</v>
      </c>
      <c r="F28" s="237">
        <f>+G28-56.71</f>
        <v>53.62</v>
      </c>
      <c r="G28" s="203">
        <f>+'SHEET-7'!D12</f>
        <v>110.33</v>
      </c>
      <c r="H28" s="172">
        <f t="shared" si="6"/>
        <v>-0.66225289071242077</v>
      </c>
      <c r="I28" s="170">
        <f t="shared" si="6"/>
        <v>0.12027553702528773</v>
      </c>
    </row>
    <row r="29" spans="1:13" ht="24" customHeight="1">
      <c r="A29" s="90">
        <v>13</v>
      </c>
      <c r="B29" s="92" t="s">
        <v>234</v>
      </c>
      <c r="C29" s="221" t="s">
        <v>13</v>
      </c>
      <c r="D29" s="200">
        <f>+SUM(D25:D28)</f>
        <v>1923.8800000000006</v>
      </c>
      <c r="E29" s="200">
        <f t="shared" ref="E29:G29" si="7">+SUM(E25:E28)</f>
        <v>5707.630000000001</v>
      </c>
      <c r="F29" s="200">
        <f t="shared" si="7"/>
        <v>1636.4400000000003</v>
      </c>
      <c r="G29" s="200">
        <f t="shared" si="7"/>
        <v>4850.3599999999997</v>
      </c>
      <c r="H29" s="223">
        <f t="shared" ref="H29" si="8">(D29-F29)/F29</f>
        <v>0.17564958079734072</v>
      </c>
      <c r="I29" s="224">
        <f t="shared" ref="I29" si="9">(E29-G29)/G29</f>
        <v>0.17674358191969286</v>
      </c>
    </row>
    <row r="30" spans="1:13" ht="24" customHeight="1">
      <c r="A30" s="90">
        <v>14</v>
      </c>
      <c r="B30" s="92" t="s">
        <v>118</v>
      </c>
      <c r="C30" s="49" t="s">
        <v>34</v>
      </c>
      <c r="D30" s="172">
        <f>D15/D23</f>
        <v>0.85634803957965178</v>
      </c>
      <c r="E30" s="172">
        <f>E15/E23</f>
        <v>0.86147580524812506</v>
      </c>
      <c r="F30" s="199">
        <f>F15/F23</f>
        <v>0.84177672142250148</v>
      </c>
      <c r="G30" s="199">
        <f>G15/G23</f>
        <v>0.83981322839982686</v>
      </c>
      <c r="H30" s="172">
        <f>D30-F30</f>
        <v>1.4571318157150293E-2</v>
      </c>
      <c r="I30" s="172">
        <f>E30-G30</f>
        <v>2.1662576848298198E-2</v>
      </c>
    </row>
    <row r="31" spans="1:13" ht="24" customHeight="1">
      <c r="A31" s="90"/>
      <c r="B31" s="92"/>
      <c r="C31" s="221"/>
      <c r="D31" s="223"/>
      <c r="E31" s="223"/>
      <c r="F31" s="223"/>
      <c r="G31" s="223"/>
      <c r="H31" s="223"/>
      <c r="I31" s="228"/>
    </row>
    <row r="32" spans="1:13" ht="24" customHeight="1">
      <c r="A32" s="90">
        <v>15</v>
      </c>
      <c r="B32" s="92" t="s">
        <v>31</v>
      </c>
      <c r="C32" s="49" t="s">
        <v>13</v>
      </c>
      <c r="D32" s="171">
        <f>+E32-63.92</f>
        <v>92.52</v>
      </c>
      <c r="E32" s="171">
        <v>156.44</v>
      </c>
      <c r="F32" s="237">
        <f>+G32-63.92</f>
        <v>89.64</v>
      </c>
      <c r="G32" s="237">
        <v>153.56</v>
      </c>
      <c r="H32" s="172">
        <f t="shared" si="3"/>
        <v>3.2128514056224848E-2</v>
      </c>
      <c r="I32" s="179">
        <f t="shared" si="3"/>
        <v>1.8754884084396947E-2</v>
      </c>
    </row>
    <row r="33" spans="1:9" ht="24" customHeight="1">
      <c r="A33" s="90">
        <v>16</v>
      </c>
      <c r="B33" s="92" t="s">
        <v>32</v>
      </c>
      <c r="C33" s="49" t="s">
        <v>13</v>
      </c>
      <c r="D33" s="171">
        <v>0</v>
      </c>
      <c r="E33" s="171">
        <f>+D33</f>
        <v>0</v>
      </c>
      <c r="F33" s="200">
        <v>0</v>
      </c>
      <c r="G33" s="203">
        <v>0</v>
      </c>
      <c r="H33" s="217">
        <v>0</v>
      </c>
      <c r="I33" s="179">
        <v>0</v>
      </c>
    </row>
    <row r="34" spans="1:9" ht="24" customHeight="1">
      <c r="A34" s="90">
        <v>17</v>
      </c>
      <c r="B34" s="92" t="s">
        <v>229</v>
      </c>
      <c r="C34" s="49" t="s">
        <v>13</v>
      </c>
      <c r="D34" s="169">
        <v>0</v>
      </c>
      <c r="E34" s="169">
        <f>+D34</f>
        <v>0</v>
      </c>
      <c r="F34" s="203">
        <f>+G34-0.02</f>
        <v>0.02</v>
      </c>
      <c r="G34" s="203">
        <v>0.04</v>
      </c>
      <c r="H34" s="217">
        <v>0</v>
      </c>
      <c r="I34" s="179">
        <v>0</v>
      </c>
    </row>
    <row r="42" spans="1:9" ht="12.75" customHeight="1">
      <c r="A42" s="324"/>
      <c r="B42" s="324"/>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3"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9" zoomScale="60" zoomScaleNormal="60" workbookViewId="0">
      <selection activeCell="D14" sqref="D14"/>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44" t="s">
        <v>0</v>
      </c>
      <c r="B5" s="344"/>
      <c r="C5" s="344"/>
      <c r="D5" s="344"/>
      <c r="E5" s="344"/>
      <c r="F5" s="344"/>
      <c r="G5" s="344"/>
      <c r="H5" s="344"/>
      <c r="I5" s="344"/>
    </row>
    <row r="7" spans="1:9" ht="27.75">
      <c r="A7" s="351" t="s">
        <v>20</v>
      </c>
      <c r="B7" s="351"/>
      <c r="C7" s="351"/>
      <c r="D7" s="351"/>
      <c r="E7" s="351"/>
      <c r="F7" s="351"/>
      <c r="G7" s="351"/>
      <c r="H7" s="351"/>
      <c r="I7" s="351"/>
    </row>
    <row r="9" spans="1:9" ht="27.75">
      <c r="A9" s="351" t="s">
        <v>24</v>
      </c>
      <c r="B9" s="351"/>
      <c r="C9" s="351"/>
      <c r="D9" s="351"/>
      <c r="E9" s="351"/>
      <c r="F9" s="351"/>
      <c r="G9" s="351"/>
      <c r="H9" s="351"/>
      <c r="I9" s="351"/>
    </row>
    <row r="10" spans="1:9" ht="13.5" thickBot="1"/>
    <row r="11" spans="1:9" ht="21.6" customHeight="1">
      <c r="A11" s="60"/>
      <c r="B11" s="61"/>
      <c r="C11" s="61"/>
      <c r="D11" s="338" t="s">
        <v>16</v>
      </c>
      <c r="E11" s="338"/>
      <c r="F11" s="338" t="s">
        <v>66</v>
      </c>
      <c r="G11" s="338"/>
      <c r="H11" s="338" t="s">
        <v>17</v>
      </c>
      <c r="I11" s="339"/>
    </row>
    <row r="12" spans="1:9" ht="21.6" customHeight="1">
      <c r="A12" s="62"/>
      <c r="B12" s="54"/>
      <c r="C12" s="54"/>
      <c r="D12" s="54" t="s">
        <v>14</v>
      </c>
      <c r="E12" s="54" t="s">
        <v>15</v>
      </c>
      <c r="F12" s="54" t="s">
        <v>14</v>
      </c>
      <c r="G12" s="54" t="s">
        <v>15</v>
      </c>
      <c r="H12" s="340" t="s">
        <v>14</v>
      </c>
      <c r="I12" s="341" t="s">
        <v>15</v>
      </c>
    </row>
    <row r="13" spans="1:9" ht="21.6" customHeight="1">
      <c r="A13" s="62" t="s">
        <v>38</v>
      </c>
      <c r="B13" s="54" t="s">
        <v>100</v>
      </c>
      <c r="C13" s="54"/>
      <c r="D13" s="318" t="str">
        <f>+'SHEET-3'!D14:E14</f>
        <v>Oct-2021 to Dec-2021</v>
      </c>
      <c r="E13" s="318"/>
      <c r="F13" s="318" t="str">
        <f>+'SHEET-3'!F14:G14</f>
        <v>Oct-2020 to Dec-2020</v>
      </c>
      <c r="G13" s="318"/>
      <c r="H13" s="340"/>
      <c r="I13" s="341"/>
    </row>
    <row r="14" spans="1:9" ht="21.6" customHeight="1">
      <c r="A14" s="64">
        <v>1</v>
      </c>
      <c r="B14" s="65" t="s">
        <v>4</v>
      </c>
      <c r="C14" s="66" t="s">
        <v>81</v>
      </c>
      <c r="D14" s="236">
        <f>2518+107</f>
        <v>2625</v>
      </c>
      <c r="E14" s="236">
        <f>D14</f>
        <v>2625</v>
      </c>
      <c r="F14" s="236">
        <v>2434</v>
      </c>
      <c r="G14" s="236">
        <f>F14</f>
        <v>2434</v>
      </c>
      <c r="H14" s="157">
        <f>(D14-F14)/F14</f>
        <v>7.847165160230074E-2</v>
      </c>
      <c r="I14" s="158">
        <f>(E14-G14)/G14</f>
        <v>7.847165160230074E-2</v>
      </c>
    </row>
    <row r="15" spans="1:9" ht="21.6" customHeight="1">
      <c r="A15" s="64">
        <v>2</v>
      </c>
      <c r="B15" s="65" t="s">
        <v>101</v>
      </c>
      <c r="C15" s="66" t="s">
        <v>81</v>
      </c>
      <c r="D15" s="236">
        <v>0</v>
      </c>
      <c r="E15" s="236">
        <f t="shared" ref="E15:E16" si="0">D15</f>
        <v>0</v>
      </c>
      <c r="F15" s="236">
        <v>0</v>
      </c>
      <c r="G15" s="236">
        <v>0</v>
      </c>
      <c r="H15" s="191" t="e">
        <f t="shared" ref="H15:H25" si="1">(D15-F15)/F15</f>
        <v>#DIV/0!</v>
      </c>
      <c r="I15" s="192" t="e">
        <f t="shared" ref="I15:I25" si="2">(E15-G15)/G15</f>
        <v>#DIV/0!</v>
      </c>
    </row>
    <row r="16" spans="1:9" ht="21.6" customHeight="1">
      <c r="A16" s="64">
        <v>3</v>
      </c>
      <c r="B16" s="65" t="s">
        <v>7</v>
      </c>
      <c r="C16" s="66" t="s">
        <v>81</v>
      </c>
      <c r="D16" s="236">
        <v>0</v>
      </c>
      <c r="E16" s="236">
        <f t="shared" si="0"/>
        <v>0</v>
      </c>
      <c r="F16" s="236">
        <v>0</v>
      </c>
      <c r="G16" s="236">
        <v>0</v>
      </c>
      <c r="H16" s="157">
        <v>0</v>
      </c>
      <c r="I16" s="158">
        <v>0</v>
      </c>
    </row>
    <row r="17" spans="1:14" ht="24" customHeight="1">
      <c r="A17" s="64">
        <v>4</v>
      </c>
      <c r="B17" s="65" t="s">
        <v>8</v>
      </c>
      <c r="C17" s="66" t="s">
        <v>81</v>
      </c>
      <c r="D17" s="236">
        <f>SUM(D14:D16)</f>
        <v>2625</v>
      </c>
      <c r="E17" s="236">
        <f>SUM(E14:E16)</f>
        <v>2625</v>
      </c>
      <c r="F17" s="236">
        <f>+SUM(F14:F16)</f>
        <v>2434</v>
      </c>
      <c r="G17" s="236">
        <f>+SUM(G14:G16)</f>
        <v>2434</v>
      </c>
      <c r="H17" s="157">
        <f t="shared" si="1"/>
        <v>7.847165160230074E-2</v>
      </c>
      <c r="I17" s="158">
        <f t="shared" si="2"/>
        <v>7.847165160230074E-2</v>
      </c>
    </row>
    <row r="18" spans="1:14" ht="21.6" customHeight="1">
      <c r="A18" s="64">
        <v>5</v>
      </c>
      <c r="B18" s="65" t="s">
        <v>2</v>
      </c>
      <c r="C18" s="66" t="s">
        <v>81</v>
      </c>
      <c r="D18" s="236">
        <v>2789524</v>
      </c>
      <c r="E18" s="236">
        <f>D18</f>
        <v>2789524</v>
      </c>
      <c r="F18" s="236">
        <v>2737827</v>
      </c>
      <c r="G18" s="236">
        <f>F18</f>
        <v>2737827</v>
      </c>
      <c r="H18" s="157">
        <f t="shared" si="1"/>
        <v>1.8882493305822465E-2</v>
      </c>
      <c r="I18" s="158">
        <f t="shared" si="2"/>
        <v>1.8882493305822465E-2</v>
      </c>
    </row>
    <row r="19" spans="1:14" ht="21.6" customHeight="1">
      <c r="A19" s="64">
        <v>6</v>
      </c>
      <c r="B19" s="65" t="s">
        <v>3</v>
      </c>
      <c r="C19" s="66" t="s">
        <v>81</v>
      </c>
      <c r="D19" s="342">
        <v>388424</v>
      </c>
      <c r="E19" s="342">
        <f>D19</f>
        <v>388424</v>
      </c>
      <c r="F19" s="342">
        <v>374589</v>
      </c>
      <c r="G19" s="342">
        <f>F19</f>
        <v>374589</v>
      </c>
      <c r="H19" s="352">
        <f t="shared" si="1"/>
        <v>3.6933812792153534E-2</v>
      </c>
      <c r="I19" s="345">
        <f t="shared" si="2"/>
        <v>3.6933812792153534E-2</v>
      </c>
      <c r="M19" s="67"/>
      <c r="N19" s="68"/>
    </row>
    <row r="20" spans="1:14" ht="21.6" customHeight="1">
      <c r="A20" s="64">
        <v>7</v>
      </c>
      <c r="B20" s="65" t="s">
        <v>1</v>
      </c>
      <c r="C20" s="66" t="s">
        <v>81</v>
      </c>
      <c r="D20" s="343"/>
      <c r="E20" s="343"/>
      <c r="F20" s="343"/>
      <c r="G20" s="343"/>
      <c r="H20" s="353"/>
      <c r="I20" s="346"/>
      <c r="M20" s="67"/>
      <c r="N20" s="68"/>
    </row>
    <row r="21" spans="1:14" ht="21.6" customHeight="1">
      <c r="A21" s="64">
        <v>8</v>
      </c>
      <c r="B21" s="65" t="s">
        <v>119</v>
      </c>
      <c r="C21" s="66" t="s">
        <v>81</v>
      </c>
      <c r="D21" s="236">
        <v>25913</v>
      </c>
      <c r="E21" s="236">
        <f>D21</f>
        <v>25913</v>
      </c>
      <c r="F21" s="236">
        <v>24829</v>
      </c>
      <c r="G21" s="236">
        <f>F21</f>
        <v>24829</v>
      </c>
      <c r="H21" s="157">
        <f t="shared" si="1"/>
        <v>4.3658624994965561E-2</v>
      </c>
      <c r="I21" s="158">
        <f t="shared" si="2"/>
        <v>4.3658624994965561E-2</v>
      </c>
      <c r="M21" s="67"/>
      <c r="N21" s="68"/>
    </row>
    <row r="22" spans="1:14" ht="24" customHeight="1">
      <c r="A22" s="64">
        <v>9</v>
      </c>
      <c r="B22" s="65" t="s">
        <v>10</v>
      </c>
      <c r="C22" s="66" t="s">
        <v>81</v>
      </c>
      <c r="D22" s="236">
        <f>+SUM(D18:D21)</f>
        <v>3203861</v>
      </c>
      <c r="E22" s="236">
        <f t="shared" ref="E22:E25" si="3">D22</f>
        <v>3203861</v>
      </c>
      <c r="F22" s="227">
        <f>+SUM(F18:F21)</f>
        <v>3137245</v>
      </c>
      <c r="G22" s="227">
        <f t="shared" ref="G22" si="4">F22</f>
        <v>3137245</v>
      </c>
      <c r="H22" s="157">
        <f t="shared" si="1"/>
        <v>2.1233917019550592E-2</v>
      </c>
      <c r="I22" s="158">
        <f t="shared" si="2"/>
        <v>2.1233917019550592E-2</v>
      </c>
    </row>
    <row r="23" spans="1:14" ht="21.6" customHeight="1">
      <c r="A23" s="64">
        <v>10</v>
      </c>
      <c r="B23" s="65" t="s">
        <v>5</v>
      </c>
      <c r="C23" s="66" t="s">
        <v>81</v>
      </c>
      <c r="D23" s="236">
        <f>198237+10</f>
        <v>198247</v>
      </c>
      <c r="E23" s="236">
        <f>D23</f>
        <v>198247</v>
      </c>
      <c r="F23" s="236">
        <f>187138+10</f>
        <v>187148</v>
      </c>
      <c r="G23" s="236">
        <f>F23</f>
        <v>187148</v>
      </c>
      <c r="H23" s="157">
        <f t="shared" si="1"/>
        <v>5.93060038044756E-2</v>
      </c>
      <c r="I23" s="158">
        <f t="shared" si="2"/>
        <v>5.93060038044756E-2</v>
      </c>
      <c r="M23" s="67"/>
      <c r="N23" s="68"/>
    </row>
    <row r="24" spans="1:14" ht="24" customHeight="1">
      <c r="A24" s="64">
        <v>11</v>
      </c>
      <c r="B24" s="65" t="s">
        <v>11</v>
      </c>
      <c r="C24" s="66" t="s">
        <v>81</v>
      </c>
      <c r="D24" s="236">
        <f>+D22+D23</f>
        <v>3402108</v>
      </c>
      <c r="E24" s="236">
        <f t="shared" si="3"/>
        <v>3402108</v>
      </c>
      <c r="F24" s="227">
        <f>+F22+F23</f>
        <v>3324393</v>
      </c>
      <c r="G24" s="227">
        <f t="shared" ref="G24:G25" si="5">F24</f>
        <v>3324393</v>
      </c>
      <c r="H24" s="157">
        <f t="shared" si="1"/>
        <v>2.337719998808805E-2</v>
      </c>
      <c r="I24" s="158">
        <f t="shared" si="2"/>
        <v>2.337719998808805E-2</v>
      </c>
      <c r="M24" s="67"/>
      <c r="N24" s="68"/>
    </row>
    <row r="25" spans="1:14" ht="31.5" customHeight="1" thickBot="1">
      <c r="A25" s="69">
        <v>12</v>
      </c>
      <c r="B25" s="70" t="s">
        <v>104</v>
      </c>
      <c r="C25" s="71" t="s">
        <v>81</v>
      </c>
      <c r="D25" s="219">
        <f>+D17+D24</f>
        <v>3404733</v>
      </c>
      <c r="E25" s="219">
        <f t="shared" si="3"/>
        <v>3404733</v>
      </c>
      <c r="F25" s="219">
        <f>+F17+F24</f>
        <v>3326827</v>
      </c>
      <c r="G25" s="219">
        <f t="shared" si="5"/>
        <v>3326827</v>
      </c>
      <c r="H25" s="159">
        <f t="shared" si="1"/>
        <v>2.3417508635104861E-2</v>
      </c>
      <c r="I25" s="160">
        <f t="shared" si="2"/>
        <v>2.3417508635104861E-2</v>
      </c>
      <c r="M25" s="67"/>
      <c r="N25" s="68"/>
    </row>
    <row r="26" spans="1:14" ht="12" customHeight="1">
      <c r="A26" s="114"/>
      <c r="B26" s="115"/>
      <c r="C26" s="116"/>
      <c r="D26" s="117"/>
      <c r="E26" s="117"/>
      <c r="F26" s="117"/>
      <c r="G26" s="117"/>
      <c r="H26" s="155"/>
      <c r="I26" s="156"/>
    </row>
    <row r="27" spans="1:14" ht="28.5" customHeight="1">
      <c r="A27" s="118" t="s">
        <v>6</v>
      </c>
      <c r="B27" s="112" t="s">
        <v>44</v>
      </c>
      <c r="C27" s="116"/>
      <c r="D27" s="117"/>
      <c r="E27" s="117"/>
      <c r="F27" s="117"/>
      <c r="G27" s="117"/>
      <c r="H27" s="155"/>
      <c r="I27" s="156"/>
    </row>
    <row r="28" spans="1:14" ht="12" customHeight="1" thickBot="1">
      <c r="A28" s="114"/>
      <c r="B28" s="115"/>
      <c r="C28" s="116"/>
      <c r="D28" s="117"/>
      <c r="E28" s="117"/>
      <c r="F28" s="117"/>
      <c r="G28" s="117"/>
      <c r="H28" s="155"/>
      <c r="I28" s="156"/>
    </row>
    <row r="29" spans="1:14" ht="21.6" customHeight="1">
      <c r="A29" s="76">
        <v>1</v>
      </c>
      <c r="B29" s="77" t="s">
        <v>4</v>
      </c>
      <c r="C29" s="119" t="s">
        <v>23</v>
      </c>
      <c r="D29" s="240">
        <f>+E29-2469.074</f>
        <v>1348.2939999999999</v>
      </c>
      <c r="E29" s="240">
        <v>3817.3679999999999</v>
      </c>
      <c r="F29" s="240">
        <f>+G29-1466.37</f>
        <v>964.31700000000001</v>
      </c>
      <c r="G29" s="240">
        <v>2430.6869999999999</v>
      </c>
      <c r="H29" s="183">
        <f>(D29-F29)/F29</f>
        <v>0.3981854514646116</v>
      </c>
      <c r="I29" s="184">
        <f>(E29-G29)/G29</f>
        <v>0.57048933079413355</v>
      </c>
    </row>
    <row r="30" spans="1:14" ht="21.6" customHeight="1">
      <c r="A30" s="64">
        <v>2</v>
      </c>
      <c r="B30" s="65" t="s">
        <v>101</v>
      </c>
      <c r="C30" s="66" t="s">
        <v>23</v>
      </c>
      <c r="D30" s="241">
        <v>0</v>
      </c>
      <c r="E30" s="241">
        <f>+D30</f>
        <v>0</v>
      </c>
      <c r="F30" s="241">
        <v>0</v>
      </c>
      <c r="G30" s="241">
        <f>+F30</f>
        <v>0</v>
      </c>
      <c r="H30" s="191" t="e">
        <f t="shared" ref="H30:H40" si="6">(D30-F30)/F30</f>
        <v>#DIV/0!</v>
      </c>
      <c r="I30" s="192" t="e">
        <f t="shared" ref="I30:I40" si="7">(E30-G30)/G30</f>
        <v>#DIV/0!</v>
      </c>
    </row>
    <row r="31" spans="1:14" ht="21.6" customHeight="1">
      <c r="A31" s="64">
        <v>3</v>
      </c>
      <c r="B31" s="65" t="s">
        <v>7</v>
      </c>
      <c r="C31" s="66" t="s">
        <v>23</v>
      </c>
      <c r="D31" s="241">
        <v>0</v>
      </c>
      <c r="E31" s="241">
        <v>0</v>
      </c>
      <c r="F31" s="241">
        <v>0</v>
      </c>
      <c r="G31" s="241">
        <v>0</v>
      </c>
      <c r="H31" s="157">
        <v>0</v>
      </c>
      <c r="I31" s="158">
        <v>0</v>
      </c>
    </row>
    <row r="32" spans="1:14" ht="24" customHeight="1">
      <c r="A32" s="64">
        <v>4</v>
      </c>
      <c r="B32" s="65" t="s">
        <v>8</v>
      </c>
      <c r="C32" s="66" t="s">
        <v>23</v>
      </c>
      <c r="D32" s="241">
        <f>D29+D30</f>
        <v>1348.2939999999999</v>
      </c>
      <c r="E32" s="241">
        <f>E29+E30</f>
        <v>3817.3679999999999</v>
      </c>
      <c r="F32" s="241">
        <f>F29+F30</f>
        <v>964.31700000000001</v>
      </c>
      <c r="G32" s="241">
        <f>G29+G30</f>
        <v>2430.6869999999999</v>
      </c>
      <c r="H32" s="157">
        <f t="shared" si="6"/>
        <v>0.3981854514646116</v>
      </c>
      <c r="I32" s="158">
        <f t="shared" si="7"/>
        <v>0.57048933079413355</v>
      </c>
      <c r="M32" s="67"/>
      <c r="N32" s="68"/>
    </row>
    <row r="33" spans="1:14" ht="21.6" customHeight="1">
      <c r="A33" s="64">
        <v>5</v>
      </c>
      <c r="B33" s="65" t="s">
        <v>2</v>
      </c>
      <c r="C33" s="66" t="s">
        <v>23</v>
      </c>
      <c r="D33" s="241">
        <f>+E33-1720.362</f>
        <v>537.1869999999999</v>
      </c>
      <c r="E33" s="241">
        <v>2257.549</v>
      </c>
      <c r="F33" s="241">
        <f>+G33-1826.99</f>
        <v>565.41999999999985</v>
      </c>
      <c r="G33" s="241">
        <v>2392.41</v>
      </c>
      <c r="H33" s="157">
        <f t="shared" si="6"/>
        <v>-4.993279332177842E-2</v>
      </c>
      <c r="I33" s="158">
        <f t="shared" si="7"/>
        <v>-5.6370354579691563E-2</v>
      </c>
      <c r="M33" s="67"/>
      <c r="N33" s="68"/>
    </row>
    <row r="34" spans="1:14" ht="21.6" customHeight="1">
      <c r="A34" s="64">
        <v>6</v>
      </c>
      <c r="B34" s="65" t="s">
        <v>3</v>
      </c>
      <c r="C34" s="66" t="s">
        <v>23</v>
      </c>
      <c r="D34" s="347">
        <f>+E34-952.796</f>
        <v>425.61300000000006</v>
      </c>
      <c r="E34" s="347">
        <v>1378.4090000000001</v>
      </c>
      <c r="F34" s="347">
        <f>+G34-761.05</f>
        <v>409.68499999999995</v>
      </c>
      <c r="G34" s="347">
        <v>1170.7349999999999</v>
      </c>
      <c r="H34" s="349">
        <f t="shared" si="6"/>
        <v>3.887865067063747E-2</v>
      </c>
      <c r="I34" s="345">
        <f t="shared" si="7"/>
        <v>0.17738770943040075</v>
      </c>
      <c r="M34" s="67"/>
      <c r="N34" s="68"/>
    </row>
    <row r="35" spans="1:14" ht="21.6" customHeight="1">
      <c r="A35" s="64">
        <v>7</v>
      </c>
      <c r="B35" s="65" t="s">
        <v>1</v>
      </c>
      <c r="C35" s="66" t="s">
        <v>23</v>
      </c>
      <c r="D35" s="348"/>
      <c r="E35" s="348"/>
      <c r="F35" s="348"/>
      <c r="G35" s="348"/>
      <c r="H35" s="350"/>
      <c r="I35" s="346"/>
    </row>
    <row r="36" spans="1:14" ht="21.6" customHeight="1">
      <c r="A36" s="64">
        <v>8</v>
      </c>
      <c r="B36" s="65" t="s">
        <v>119</v>
      </c>
      <c r="C36" s="66" t="s">
        <v>23</v>
      </c>
      <c r="D36" s="241">
        <f>+E36-190.059</f>
        <v>92.729000000000013</v>
      </c>
      <c r="E36" s="241">
        <v>282.78800000000001</v>
      </c>
      <c r="F36" s="241">
        <f>+G36-170.09</f>
        <v>83.4</v>
      </c>
      <c r="G36" s="241">
        <v>253.49</v>
      </c>
      <c r="H36" s="157">
        <f t="shared" si="6"/>
        <v>0.11185851318944853</v>
      </c>
      <c r="I36" s="158">
        <f t="shared" si="7"/>
        <v>0.11557852380764527</v>
      </c>
    </row>
    <row r="37" spans="1:14" ht="24" customHeight="1">
      <c r="A37" s="64">
        <v>9</v>
      </c>
      <c r="B37" s="65" t="s">
        <v>10</v>
      </c>
      <c r="C37" s="66" t="s">
        <v>23</v>
      </c>
      <c r="D37" s="241">
        <f>SUM(D33:D36)</f>
        <v>1055.529</v>
      </c>
      <c r="E37" s="241">
        <f>SUM(E33:E36)</f>
        <v>3918.7460000000001</v>
      </c>
      <c r="F37" s="241">
        <f>SUM(F33:F36)</f>
        <v>1058.5049999999999</v>
      </c>
      <c r="G37" s="241">
        <f>SUM(G33:G36)</f>
        <v>3816.6349999999993</v>
      </c>
      <c r="H37" s="157">
        <f t="shared" si="6"/>
        <v>-2.8115124633326114E-3</v>
      </c>
      <c r="I37" s="158">
        <f t="shared" si="7"/>
        <v>2.6754195777170413E-2</v>
      </c>
      <c r="M37" s="67"/>
      <c r="N37" s="68"/>
    </row>
    <row r="38" spans="1:14" ht="21.6" customHeight="1">
      <c r="A38" s="64">
        <v>10</v>
      </c>
      <c r="B38" s="65" t="s">
        <v>102</v>
      </c>
      <c r="C38" s="66" t="s">
        <v>23</v>
      </c>
      <c r="D38" s="241">
        <f>+E38-527.077</f>
        <v>326.83000000000004</v>
      </c>
      <c r="E38" s="241">
        <v>853.90700000000004</v>
      </c>
      <c r="F38" s="241">
        <f>+G38-595.36</f>
        <v>369.65599999999995</v>
      </c>
      <c r="G38" s="241">
        <v>965.01599999999996</v>
      </c>
      <c r="H38" s="157">
        <f t="shared" si="6"/>
        <v>-0.11585365853658514</v>
      </c>
      <c r="I38" s="158">
        <f t="shared" si="7"/>
        <v>-0.1151369510971838</v>
      </c>
      <c r="M38" s="67"/>
      <c r="N38" s="68"/>
    </row>
    <row r="39" spans="1:14" ht="24" customHeight="1">
      <c r="A39" s="64">
        <v>11</v>
      </c>
      <c r="B39" s="65" t="s">
        <v>11</v>
      </c>
      <c r="C39" s="66" t="s">
        <v>23</v>
      </c>
      <c r="D39" s="241">
        <f>SUM(D37:D38)</f>
        <v>1382.3589999999999</v>
      </c>
      <c r="E39" s="241">
        <f>SUM(E37:E38)</f>
        <v>4772.6530000000002</v>
      </c>
      <c r="F39" s="241">
        <f>SUM(F37:F38)</f>
        <v>1428.1609999999998</v>
      </c>
      <c r="G39" s="241">
        <f>SUM(G37:G38)</f>
        <v>4781.6509999999989</v>
      </c>
      <c r="H39" s="157">
        <f t="shared" si="6"/>
        <v>-3.207061388736978E-2</v>
      </c>
      <c r="I39" s="158">
        <f t="shared" si="7"/>
        <v>-1.8817768172538492E-3</v>
      </c>
      <c r="M39" s="67"/>
      <c r="N39" s="68"/>
    </row>
    <row r="40" spans="1:14" ht="31.5" customHeight="1" thickBot="1">
      <c r="A40" s="69">
        <v>12</v>
      </c>
      <c r="B40" s="70" t="s">
        <v>12</v>
      </c>
      <c r="C40" s="71" t="s">
        <v>23</v>
      </c>
      <c r="D40" s="242">
        <f>D32+D39</f>
        <v>2730.6529999999998</v>
      </c>
      <c r="E40" s="242">
        <f>E32+E39</f>
        <v>8590.0210000000006</v>
      </c>
      <c r="F40" s="242">
        <f>F32+F39</f>
        <v>2392.4780000000001</v>
      </c>
      <c r="G40" s="242">
        <f>G32+G39</f>
        <v>7212.3379999999988</v>
      </c>
      <c r="H40" s="159">
        <f t="shared" si="6"/>
        <v>0.14134926214577509</v>
      </c>
      <c r="I40" s="160">
        <f t="shared" si="7"/>
        <v>0.19101753134697819</v>
      </c>
    </row>
    <row r="41" spans="1:14">
      <c r="D41" s="136"/>
      <c r="E41" s="136"/>
      <c r="H41" s="136"/>
      <c r="I41" s="136"/>
    </row>
    <row r="43" spans="1:14" ht="12.75" customHeight="1">
      <c r="A43" s="324"/>
      <c r="B43" s="324"/>
    </row>
    <row r="52" spans="4:6" ht="23.25">
      <c r="D52" s="120">
        <v>1639.71</v>
      </c>
      <c r="E52" s="120">
        <v>5096.3599999999997</v>
      </c>
    </row>
    <row r="57" spans="4:6" ht="26.25">
      <c r="D57" s="83">
        <v>335.74</v>
      </c>
      <c r="E57" s="83">
        <v>335.74</v>
      </c>
      <c r="F57" s="121">
        <f>D40-D52</f>
        <v>1090.9429999999998</v>
      </c>
    </row>
    <row r="58" spans="4:6" ht="26.25">
      <c r="D58" s="83">
        <v>346.72</v>
      </c>
      <c r="E58" s="83">
        <v>346.72</v>
      </c>
      <c r="F58" s="121">
        <f>E40-E52</f>
        <v>3493.661000000001</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E19:E20"/>
    <mergeCell ref="D19:D20"/>
  </mergeCells>
  <phoneticPr fontId="3"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6" zoomScale="60" zoomScaleNormal="50" workbookViewId="0">
      <selection activeCell="D40" sqref="D40"/>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c r="I2" s="59" t="s">
        <v>22</v>
      </c>
    </row>
    <row r="5" spans="1:13" ht="30">
      <c r="A5" s="344" t="s">
        <v>0</v>
      </c>
      <c r="B5" s="344"/>
      <c r="C5" s="344"/>
      <c r="D5" s="344"/>
      <c r="E5" s="344"/>
      <c r="F5" s="344"/>
      <c r="G5" s="344"/>
      <c r="H5" s="344"/>
      <c r="I5" s="344"/>
    </row>
    <row r="7" spans="1:13" ht="27.75">
      <c r="A7" s="351" t="s">
        <v>20</v>
      </c>
      <c r="B7" s="351"/>
      <c r="C7" s="351"/>
      <c r="D7" s="351"/>
      <c r="E7" s="351"/>
      <c r="F7" s="351"/>
      <c r="G7" s="351"/>
      <c r="H7" s="351"/>
      <c r="I7" s="351"/>
      <c r="J7" s="231"/>
      <c r="K7" s="231"/>
      <c r="L7" s="230"/>
      <c r="M7" s="123"/>
    </row>
    <row r="9" spans="1:13" ht="27.75">
      <c r="A9" s="351" t="s">
        <v>19</v>
      </c>
      <c r="B9" s="351"/>
      <c r="C9" s="351"/>
      <c r="D9" s="351"/>
      <c r="E9" s="351"/>
      <c r="F9" s="351"/>
      <c r="G9" s="351"/>
      <c r="H9" s="351"/>
      <c r="I9" s="351"/>
    </row>
    <row r="10" spans="1:13" ht="13.5" thickBot="1"/>
    <row r="11" spans="1:13" ht="21.6" customHeight="1">
      <c r="A11" s="60"/>
      <c r="B11" s="61"/>
      <c r="C11" s="61"/>
      <c r="D11" s="338" t="s">
        <v>16</v>
      </c>
      <c r="E11" s="338"/>
      <c r="F11" s="338" t="s">
        <v>83</v>
      </c>
      <c r="G11" s="338"/>
      <c r="H11" s="338" t="s">
        <v>17</v>
      </c>
      <c r="I11" s="339"/>
    </row>
    <row r="12" spans="1:13" ht="21.6" customHeight="1">
      <c r="A12" s="62"/>
      <c r="B12" s="54"/>
      <c r="C12" s="54"/>
      <c r="D12" s="54" t="s">
        <v>14</v>
      </c>
      <c r="E12" s="54" t="s">
        <v>15</v>
      </c>
      <c r="F12" s="54" t="s">
        <v>14</v>
      </c>
      <c r="G12" s="54" t="s">
        <v>15</v>
      </c>
      <c r="H12" s="340" t="s">
        <v>14</v>
      </c>
      <c r="I12" s="341" t="s">
        <v>15</v>
      </c>
    </row>
    <row r="13" spans="1:13" ht="21.6" customHeight="1">
      <c r="A13" s="62" t="s">
        <v>45</v>
      </c>
      <c r="B13" s="63" t="s">
        <v>121</v>
      </c>
      <c r="C13" s="54"/>
      <c r="D13" s="318" t="str">
        <f>+'SHEET-4'!D13:E13</f>
        <v>Oct-2021 to Dec-2021</v>
      </c>
      <c r="E13" s="318"/>
      <c r="F13" s="318" t="str">
        <f>+'SHEET-4'!F13:G13</f>
        <v>Oct-2020 to Dec-2020</v>
      </c>
      <c r="G13" s="318"/>
      <c r="H13" s="340"/>
      <c r="I13" s="341"/>
    </row>
    <row r="14" spans="1:13" ht="21.6" customHeight="1">
      <c r="A14" s="64">
        <v>1</v>
      </c>
      <c r="B14" s="65" t="s">
        <v>4</v>
      </c>
      <c r="C14" s="66" t="s">
        <v>13</v>
      </c>
      <c r="D14" s="169">
        <f>+E14-1600.37</f>
        <v>960.52</v>
      </c>
      <c r="E14" s="169">
        <v>2560.89</v>
      </c>
      <c r="F14" s="239">
        <f>+G14-1159.28</f>
        <v>771.17000000000007</v>
      </c>
      <c r="G14" s="239">
        <v>1930.45</v>
      </c>
      <c r="H14" s="157">
        <f>(D14-F14)/F14</f>
        <v>0.24553600373458498</v>
      </c>
      <c r="I14" s="158">
        <f>(E14-G14)/G14</f>
        <v>0.32657670491336205</v>
      </c>
    </row>
    <row r="15" spans="1:13" ht="21.6" customHeight="1">
      <c r="A15" s="64">
        <v>2</v>
      </c>
      <c r="B15" s="65" t="s">
        <v>82</v>
      </c>
      <c r="C15" s="66" t="s">
        <v>13</v>
      </c>
      <c r="D15" s="169">
        <v>0</v>
      </c>
      <c r="E15" s="169">
        <v>0</v>
      </c>
      <c r="F15" s="234">
        <v>0</v>
      </c>
      <c r="G15" s="234">
        <v>0</v>
      </c>
      <c r="H15" s="191" t="e">
        <f t="shared" ref="H15:I25" si="0">(D15-F15)/F15</f>
        <v>#DIV/0!</v>
      </c>
      <c r="I15" s="192" t="e">
        <f t="shared" si="0"/>
        <v>#DIV/0!</v>
      </c>
    </row>
    <row r="16" spans="1:13" ht="21.6" customHeight="1">
      <c r="A16" s="64">
        <v>3</v>
      </c>
      <c r="B16" s="65" t="s">
        <v>7</v>
      </c>
      <c r="C16" s="66" t="s">
        <v>13</v>
      </c>
      <c r="D16" s="169">
        <v>0</v>
      </c>
      <c r="E16" s="169">
        <v>0</v>
      </c>
      <c r="F16" s="234">
        <v>0</v>
      </c>
      <c r="G16" s="234">
        <v>0</v>
      </c>
      <c r="H16" s="157">
        <v>0</v>
      </c>
      <c r="I16" s="158">
        <v>0</v>
      </c>
    </row>
    <row r="17" spans="1:18" ht="24" customHeight="1">
      <c r="A17" s="64">
        <v>4</v>
      </c>
      <c r="B17" s="65" t="s">
        <v>8</v>
      </c>
      <c r="C17" s="66" t="s">
        <v>13</v>
      </c>
      <c r="D17" s="169">
        <f>SUM(D14:D16)</f>
        <v>960.52</v>
      </c>
      <c r="E17" s="169">
        <f>SUM(E14:E16)</f>
        <v>2560.89</v>
      </c>
      <c r="F17" s="234">
        <f>SUM(F14:F16)</f>
        <v>771.17000000000007</v>
      </c>
      <c r="G17" s="234">
        <f>SUM(G14:G16)</f>
        <v>1930.45</v>
      </c>
      <c r="H17" s="157">
        <f t="shared" si="0"/>
        <v>0.24553600373458498</v>
      </c>
      <c r="I17" s="158">
        <f t="shared" si="0"/>
        <v>0.32657670491336205</v>
      </c>
    </row>
    <row r="18" spans="1:18" ht="21.6" customHeight="1">
      <c r="A18" s="64">
        <v>5</v>
      </c>
      <c r="B18" s="65" t="s">
        <v>2</v>
      </c>
      <c r="C18" s="66" t="s">
        <v>13</v>
      </c>
      <c r="D18" s="239">
        <f>+E18-959.77</f>
        <v>298.1400000000001</v>
      </c>
      <c r="E18" s="239">
        <v>1257.9100000000001</v>
      </c>
      <c r="F18" s="239">
        <f>+G18-1018.76</f>
        <v>304.63000000000011</v>
      </c>
      <c r="G18" s="239">
        <v>1323.39</v>
      </c>
      <c r="H18" s="157">
        <f t="shared" si="0"/>
        <v>-2.1304533368348512E-2</v>
      </c>
      <c r="I18" s="158">
        <f t="shared" si="0"/>
        <v>-4.9478989564678603E-2</v>
      </c>
      <c r="O18" s="67"/>
      <c r="P18" s="68"/>
    </row>
    <row r="19" spans="1:18" ht="21.6" customHeight="1">
      <c r="A19" s="64">
        <v>6</v>
      </c>
      <c r="B19" s="65" t="s">
        <v>3</v>
      </c>
      <c r="C19" s="66" t="s">
        <v>13</v>
      </c>
      <c r="D19" s="321">
        <f>+E19-706.9</f>
        <v>318.65999999999997</v>
      </c>
      <c r="E19" s="321">
        <v>1025.56</v>
      </c>
      <c r="F19" s="321">
        <f>+G19-564.78</f>
        <v>296.77999999999997</v>
      </c>
      <c r="G19" s="321">
        <v>861.56</v>
      </c>
      <c r="H19" s="352">
        <f t="shared" si="0"/>
        <v>7.3724644517824636E-2</v>
      </c>
      <c r="I19" s="345">
        <f t="shared" si="0"/>
        <v>0.19035238404754168</v>
      </c>
      <c r="O19" s="67"/>
      <c r="P19" s="68"/>
    </row>
    <row r="20" spans="1:18" ht="21.6" customHeight="1">
      <c r="A20" s="64">
        <v>7</v>
      </c>
      <c r="B20" s="65" t="s">
        <v>1</v>
      </c>
      <c r="C20" s="66" t="s">
        <v>13</v>
      </c>
      <c r="D20" s="323"/>
      <c r="E20" s="323"/>
      <c r="F20" s="323"/>
      <c r="G20" s="323"/>
      <c r="H20" s="353"/>
      <c r="I20" s="346"/>
      <c r="O20" s="67"/>
      <c r="P20" s="68"/>
    </row>
    <row r="21" spans="1:18" ht="21.6" customHeight="1">
      <c r="A21" s="64">
        <v>8</v>
      </c>
      <c r="B21" s="65" t="s">
        <v>119</v>
      </c>
      <c r="C21" s="66" t="s">
        <v>13</v>
      </c>
      <c r="D21" s="239">
        <f>+E21-122.67</f>
        <v>74.39</v>
      </c>
      <c r="E21" s="239">
        <v>197.06</v>
      </c>
      <c r="F21" s="239">
        <f>+G21-100.54</f>
        <v>51.45</v>
      </c>
      <c r="G21" s="239">
        <v>151.99</v>
      </c>
      <c r="H21" s="157">
        <f t="shared" si="0"/>
        <v>0.44586977648202131</v>
      </c>
      <c r="I21" s="158">
        <f t="shared" si="0"/>
        <v>0.29653266662280409</v>
      </c>
    </row>
    <row r="22" spans="1:18" ht="24" customHeight="1">
      <c r="A22" s="64">
        <v>9</v>
      </c>
      <c r="B22" s="65" t="s">
        <v>10</v>
      </c>
      <c r="C22" s="66" t="s">
        <v>13</v>
      </c>
      <c r="D22" s="169">
        <f>SUM(D18:D21)</f>
        <v>691.19</v>
      </c>
      <c r="E22" s="169">
        <f>SUM(E18:E21)</f>
        <v>2480.5300000000002</v>
      </c>
      <c r="F22" s="234">
        <f>SUM(F18:F21)</f>
        <v>652.86000000000013</v>
      </c>
      <c r="G22" s="234">
        <f>SUM(G18:G21)</f>
        <v>2336.9399999999996</v>
      </c>
      <c r="H22" s="157">
        <f t="shared" si="0"/>
        <v>5.8710902796924182E-2</v>
      </c>
      <c r="I22" s="158">
        <f t="shared" si="0"/>
        <v>6.1443597182640815E-2</v>
      </c>
      <c r="O22" s="67"/>
      <c r="P22" s="68"/>
    </row>
    <row r="23" spans="1:18" ht="21.6" customHeight="1">
      <c r="A23" s="64">
        <v>10</v>
      </c>
      <c r="B23" s="65" t="s">
        <v>108</v>
      </c>
      <c r="C23" s="66" t="s">
        <v>13</v>
      </c>
      <c r="D23" s="169">
        <f>+E23-173</f>
        <v>207.86</v>
      </c>
      <c r="E23" s="169">
        <v>380.86</v>
      </c>
      <c r="F23" s="239">
        <f>+G23-205.01</f>
        <v>100.11000000000001</v>
      </c>
      <c r="G23" s="239">
        <v>305.12</v>
      </c>
      <c r="H23" s="157">
        <f t="shared" si="0"/>
        <v>1.0763160523424231</v>
      </c>
      <c r="I23" s="158">
        <f t="shared" si="0"/>
        <v>0.24823020450970112</v>
      </c>
      <c r="O23" s="67"/>
      <c r="P23" s="68"/>
    </row>
    <row r="24" spans="1:18" ht="24" customHeight="1">
      <c r="A24" s="64">
        <v>11</v>
      </c>
      <c r="B24" s="65" t="s">
        <v>11</v>
      </c>
      <c r="C24" s="66" t="s">
        <v>13</v>
      </c>
      <c r="D24" s="169">
        <f>SUM(D22:D23)</f>
        <v>899.05000000000007</v>
      </c>
      <c r="E24" s="214">
        <f>SUM(E22:E23)</f>
        <v>2861.3900000000003</v>
      </c>
      <c r="F24" s="234">
        <f>SUM(F22:F23)</f>
        <v>752.97000000000014</v>
      </c>
      <c r="G24" s="234">
        <f>SUM(G22:G23)</f>
        <v>2642.0599999999995</v>
      </c>
      <c r="H24" s="157">
        <f t="shared" si="0"/>
        <v>0.19400507324328978</v>
      </c>
      <c r="I24" s="158">
        <f t="shared" si="0"/>
        <v>8.3014768778907705E-2</v>
      </c>
      <c r="O24" s="67"/>
      <c r="P24" s="68"/>
    </row>
    <row r="25" spans="1:18" ht="31.5" customHeight="1" thickBot="1">
      <c r="A25" s="69">
        <v>12</v>
      </c>
      <c r="B25" s="70" t="s">
        <v>12</v>
      </c>
      <c r="C25" s="71" t="s">
        <v>13</v>
      </c>
      <c r="D25" s="57">
        <f>D17+D24</f>
        <v>1859.5700000000002</v>
      </c>
      <c r="E25" s="57">
        <f>E17+E24</f>
        <v>5422.2800000000007</v>
      </c>
      <c r="F25" s="57">
        <f>F17+F24</f>
        <v>1524.1400000000003</v>
      </c>
      <c r="G25" s="57">
        <f>G17+G24</f>
        <v>4572.5099999999993</v>
      </c>
      <c r="H25" s="159">
        <f t="shared" si="0"/>
        <v>0.22007820803863146</v>
      </c>
      <c r="I25" s="160">
        <f t="shared" si="0"/>
        <v>0.18584322396233174</v>
      </c>
      <c r="K25" s="233"/>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5">
        <f>D14/'SHEET-4'!D29*1000</f>
        <v>712.39655446067411</v>
      </c>
      <c r="E29" s="56">
        <f>E14/'SHEET-4'!E29*1000</f>
        <v>670.85227308449169</v>
      </c>
      <c r="F29" s="56">
        <f>F14/'SHEET-4'!F29*1000</f>
        <v>799.705905838018</v>
      </c>
      <c r="G29" s="56">
        <f>G14/'SHEET-4'!G29*1000</f>
        <v>794.19933541422665</v>
      </c>
      <c r="H29" s="183">
        <f>(D29-F29)/F29</f>
        <v>-0.10917682455508659</v>
      </c>
      <c r="I29" s="184">
        <f>(E29-G29)/G29</f>
        <v>-0.1553099541003789</v>
      </c>
      <c r="N29" s="79">
        <f>(D14/'SHEET-4'!D29)*1000</f>
        <v>712.39655446067411</v>
      </c>
      <c r="O29" s="79">
        <f>(E14/'SHEET-4'!E29)*1000</f>
        <v>670.85227308449169</v>
      </c>
      <c r="P29" s="79">
        <f>(F14/'SHEET-4'!F29)*1000</f>
        <v>799.705905838018</v>
      </c>
      <c r="Q29" s="79">
        <f>(G14/'SHEET-4'!G29)*1000</f>
        <v>794.19933541422665</v>
      </c>
      <c r="R29" s="80"/>
    </row>
    <row r="30" spans="1:18" ht="21.6" customHeight="1">
      <c r="A30" s="64">
        <v>2</v>
      </c>
      <c r="B30" s="65" t="s">
        <v>82</v>
      </c>
      <c r="C30" s="81" t="s">
        <v>21</v>
      </c>
      <c r="D30" s="150">
        <v>0</v>
      </c>
      <c r="E30" s="169">
        <v>0</v>
      </c>
      <c r="F30" s="198">
        <v>0</v>
      </c>
      <c r="G30" s="198">
        <v>0</v>
      </c>
      <c r="H30" s="191" t="e">
        <f t="shared" ref="H30:I40" si="1">(D30-F30)/F30</f>
        <v>#DIV/0!</v>
      </c>
      <c r="I30" s="192" t="e">
        <f t="shared" si="1"/>
        <v>#DIV/0!</v>
      </c>
      <c r="N30" s="79" t="e">
        <f>(D15/'SHEET-4'!D30)*1000</f>
        <v>#DIV/0!</v>
      </c>
      <c r="O30" s="79" t="e">
        <f>(E15/'SHEET-4'!E30)*1000</f>
        <v>#DIV/0!</v>
      </c>
      <c r="P30" s="79" t="e">
        <f>(F15/'SHEET-4'!F30)*1000</f>
        <v>#DIV/0!</v>
      </c>
      <c r="R30" s="80"/>
    </row>
    <row r="31" spans="1:18" ht="21.6" customHeight="1">
      <c r="A31" s="64">
        <v>3</v>
      </c>
      <c r="B31" s="65" t="s">
        <v>7</v>
      </c>
      <c r="C31" s="81" t="s">
        <v>21</v>
      </c>
      <c r="D31" s="150">
        <v>0</v>
      </c>
      <c r="E31" s="169">
        <v>0</v>
      </c>
      <c r="F31" s="198">
        <v>0</v>
      </c>
      <c r="G31" s="198">
        <f t="shared" ref="G31" si="2">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0">
        <f>D17/'SHEET-4'!D32*1000</f>
        <v>712.39655446067411</v>
      </c>
      <c r="E32" s="150">
        <f>E17/'SHEET-4'!E32*1000</f>
        <v>670.85227308449169</v>
      </c>
      <c r="F32" s="197">
        <f>F17/'SHEET-4'!F32*1000</f>
        <v>799.705905838018</v>
      </c>
      <c r="G32" s="197">
        <f>G17/'SHEET-4'!G32*1000</f>
        <v>794.19933541422665</v>
      </c>
      <c r="H32" s="157">
        <f t="shared" si="1"/>
        <v>-0.10917682455508659</v>
      </c>
      <c r="I32" s="158">
        <f t="shared" si="1"/>
        <v>-0.1553099541003789</v>
      </c>
      <c r="N32" s="79">
        <f>(D17/'SHEET-4'!D32)*1000</f>
        <v>712.39655446067411</v>
      </c>
      <c r="O32" s="79">
        <f>(E17/'SHEET-4'!E32)*1000</f>
        <v>670.85227308449169</v>
      </c>
      <c r="P32" s="79">
        <f>(F17/'SHEET-4'!F32)*1000</f>
        <v>799.705905838018</v>
      </c>
      <c r="R32" s="80"/>
    </row>
    <row r="33" spans="1:18" ht="21.6" customHeight="1">
      <c r="A33" s="64">
        <v>5</v>
      </c>
      <c r="B33" s="65" t="s">
        <v>2</v>
      </c>
      <c r="C33" s="81" t="s">
        <v>21</v>
      </c>
      <c r="D33" s="150">
        <f>D18/'SHEET-4'!D33*1000</f>
        <v>555.00226178221021</v>
      </c>
      <c r="E33" s="169">
        <f>E18/'SHEET-4'!E33*1000</f>
        <v>557.20163770531667</v>
      </c>
      <c r="F33" s="198">
        <f>F18/'SHEET-4'!F33*1000</f>
        <v>538.76764175303344</v>
      </c>
      <c r="G33" s="202">
        <f>G18/'SHEET-4'!G33*1000</f>
        <v>553.16187442787827</v>
      </c>
      <c r="H33" s="157">
        <f t="shared" si="1"/>
        <v>3.0132878760782335E-2</v>
      </c>
      <c r="I33" s="158">
        <f t="shared" si="1"/>
        <v>7.3030399674898494E-3</v>
      </c>
      <c r="N33" s="79">
        <f>(D18/'SHEET-4'!D33)*1000</f>
        <v>555.00226178221021</v>
      </c>
      <c r="O33" s="79">
        <f>(E18/'SHEET-4'!E33)*1000</f>
        <v>557.20163770531667</v>
      </c>
      <c r="P33" s="79">
        <f>(F18/'SHEET-4'!F33)*1000</f>
        <v>538.76764175303344</v>
      </c>
      <c r="R33" s="80"/>
    </row>
    <row r="34" spans="1:18" ht="21.6" customHeight="1">
      <c r="A34" s="64">
        <v>6</v>
      </c>
      <c r="B34" s="65" t="s">
        <v>3</v>
      </c>
      <c r="C34" s="81" t="s">
        <v>21</v>
      </c>
      <c r="D34" s="354">
        <f>D19/'SHEET-4'!D34*1000</f>
        <v>748.70833362702717</v>
      </c>
      <c r="E34" s="355">
        <f>E19/'SHEET-4'!E34*1000</f>
        <v>744.01719663757262</v>
      </c>
      <c r="F34" s="321">
        <f>F19/'SHEET-4'!F34:F35*1000</f>
        <v>724.4102176062097</v>
      </c>
      <c r="G34" s="356">
        <f>G19/'SHEET-4'!G34*1000</f>
        <v>735.9137635758733</v>
      </c>
      <c r="H34" s="358">
        <f t="shared" si="1"/>
        <v>3.3541928910265535E-2</v>
      </c>
      <c r="I34" s="359">
        <f t="shared" si="1"/>
        <v>1.1011389462705502E-2</v>
      </c>
      <c r="N34" s="79">
        <f>(D19/'SHEET-4'!D34)*1000</f>
        <v>748.70833362702717</v>
      </c>
      <c r="O34" s="79">
        <f>(E19/'SHEET-4'!E34)*1000</f>
        <v>744.01719663757262</v>
      </c>
      <c r="P34" s="79">
        <f>(F19/'SHEET-4'!F34)*1000</f>
        <v>724.4102176062097</v>
      </c>
      <c r="R34" s="80"/>
    </row>
    <row r="35" spans="1:18" ht="21.6" customHeight="1">
      <c r="A35" s="64">
        <v>7</v>
      </c>
      <c r="B35" s="65" t="s">
        <v>1</v>
      </c>
      <c r="C35" s="81" t="s">
        <v>21</v>
      </c>
      <c r="D35" s="354"/>
      <c r="E35" s="355"/>
      <c r="F35" s="323"/>
      <c r="G35" s="357"/>
      <c r="H35" s="358"/>
      <c r="I35" s="359"/>
      <c r="N35" s="79" t="e">
        <f>(D20/'SHEET-4'!D35)*1000</f>
        <v>#DIV/0!</v>
      </c>
      <c r="O35" s="79" t="e">
        <f>(E20/'SHEET-4'!E35)*1000</f>
        <v>#DIV/0!</v>
      </c>
      <c r="P35" s="79" t="e">
        <f>(F20/'SHEET-4'!F35)*1000</f>
        <v>#DIV/0!</v>
      </c>
      <c r="R35" s="80"/>
    </row>
    <row r="36" spans="1:18" ht="21.6" customHeight="1">
      <c r="A36" s="64">
        <v>8</v>
      </c>
      <c r="B36" s="65" t="s">
        <v>119</v>
      </c>
      <c r="C36" s="81" t="s">
        <v>21</v>
      </c>
      <c r="D36" s="150">
        <f>D21/'SHEET-4'!D36*1000</f>
        <v>802.23015453633695</v>
      </c>
      <c r="E36" s="169">
        <f>E21/'SHEET-4'!E36*1000</f>
        <v>696.8471080809652</v>
      </c>
      <c r="F36" s="198">
        <f>F21/'SHEET-4'!F36*1000</f>
        <v>616.90647482014379</v>
      </c>
      <c r="G36" s="202">
        <f>G21/'SHEET-4'!G36*1000</f>
        <v>599.58972740542038</v>
      </c>
      <c r="H36" s="157">
        <f t="shared" si="1"/>
        <v>0.30040806391312952</v>
      </c>
      <c r="I36" s="158">
        <f t="shared" si="1"/>
        <v>0.16220654929563691</v>
      </c>
      <c r="N36" s="79">
        <f>(D21/'SHEET-4'!D36)*1000</f>
        <v>802.23015453633695</v>
      </c>
      <c r="O36" s="79">
        <f>(E21/'SHEET-4'!E36)*1000</f>
        <v>696.8471080809652</v>
      </c>
      <c r="P36" s="79">
        <f>(F21/'SHEET-4'!F36)*1000</f>
        <v>616.90647482014379</v>
      </c>
      <c r="R36" s="80"/>
    </row>
    <row r="37" spans="1:18" ht="24" customHeight="1">
      <c r="A37" s="64">
        <v>9</v>
      </c>
      <c r="B37" s="65" t="s">
        <v>10</v>
      </c>
      <c r="C37" s="81" t="s">
        <v>21</v>
      </c>
      <c r="D37" s="150">
        <f>D22/'SHEET-4'!D37*1000</f>
        <v>654.82805304259762</v>
      </c>
      <c r="E37" s="169">
        <f>E22/'SHEET-4'!E37*1000</f>
        <v>632.99075775771132</v>
      </c>
      <c r="F37" s="198">
        <f>F22/'SHEET-4'!F37*1000</f>
        <v>616.77554664361548</v>
      </c>
      <c r="G37" s="202">
        <f>G22/'SHEET-4'!G37*1000</f>
        <v>612.3037702059537</v>
      </c>
      <c r="H37" s="157">
        <f t="shared" si="1"/>
        <v>6.1695873978884555E-2</v>
      </c>
      <c r="I37" s="158">
        <f t="shared" si="1"/>
        <v>3.3785497588557027E-2</v>
      </c>
      <c r="N37" s="79">
        <f>(D22/'SHEET-4'!D37)*1000</f>
        <v>654.82805304259762</v>
      </c>
      <c r="O37" s="79">
        <f>(E22/'SHEET-4'!E37)*1000</f>
        <v>632.99075775771132</v>
      </c>
      <c r="P37" s="79">
        <f>(F22/'SHEET-4'!F37)*1000</f>
        <v>616.77554664361548</v>
      </c>
      <c r="R37" s="80"/>
    </row>
    <row r="38" spans="1:18" ht="21.6" customHeight="1">
      <c r="A38" s="64">
        <v>10</v>
      </c>
      <c r="B38" s="65" t="s">
        <v>5</v>
      </c>
      <c r="C38" s="81" t="s">
        <v>21</v>
      </c>
      <c r="D38" s="150">
        <f>D23/'SHEET-4'!D38*1000</f>
        <v>635.98812838478716</v>
      </c>
      <c r="E38" s="169">
        <f>E23/'SHEET-4'!E38*1000</f>
        <v>446.02046827113492</v>
      </c>
      <c r="F38" s="218">
        <f>F23/'SHEET-4'!F38*1000</f>
        <v>270.81935637457536</v>
      </c>
      <c r="G38" s="202">
        <f>G23/'SHEET-4'!G38*1000</f>
        <v>316.18128611339085</v>
      </c>
      <c r="H38" s="157">
        <f t="shared" si="1"/>
        <v>1.3483850523045331</v>
      </c>
      <c r="I38" s="158">
        <f t="shared" si="1"/>
        <v>0.4106479031500313</v>
      </c>
      <c r="N38" s="79">
        <f>(D23/'SHEET-4'!D38)*1000</f>
        <v>635.98812838478716</v>
      </c>
      <c r="O38" s="79">
        <f>(E23/'SHEET-4'!E38)*1000</f>
        <v>446.02046827113492</v>
      </c>
      <c r="P38" s="79">
        <f>(F23/'SHEET-4'!F38)*1000</f>
        <v>270.81935637457536</v>
      </c>
      <c r="R38" s="80"/>
    </row>
    <row r="39" spans="1:18" ht="24" customHeight="1">
      <c r="A39" s="64">
        <v>11</v>
      </c>
      <c r="B39" s="65" t="s">
        <v>11</v>
      </c>
      <c r="C39" s="81" t="s">
        <v>21</v>
      </c>
      <c r="D39" s="150">
        <f>D24/'SHEET-4'!D39*1000</f>
        <v>650.37374517039359</v>
      </c>
      <c r="E39" s="169">
        <f>E24/'SHEET-4'!E39*1000</f>
        <v>599.53866329691266</v>
      </c>
      <c r="F39" s="198">
        <f>F24/'SHEET-4'!F39*1000</f>
        <v>527.23047331498356</v>
      </c>
      <c r="G39" s="202">
        <f>G24/'SHEET-4'!G39*1000</f>
        <v>552.54137117075254</v>
      </c>
      <c r="H39" s="157">
        <f t="shared" si="1"/>
        <v>0.23356630181321195</v>
      </c>
      <c r="I39" s="158">
        <f t="shared" si="1"/>
        <v>8.5056603140104936E-2</v>
      </c>
      <c r="N39" s="79">
        <f>(D24/'SHEET-4'!D39)*1000</f>
        <v>650.37374517039359</v>
      </c>
      <c r="O39" s="79">
        <f>(E24/'SHEET-4'!E39)*1000</f>
        <v>599.53866329691266</v>
      </c>
      <c r="P39" s="79">
        <f>(F24/'SHEET-4'!F39)*1000</f>
        <v>527.23047331498356</v>
      </c>
      <c r="R39" s="80"/>
    </row>
    <row r="40" spans="1:18" ht="31.5" customHeight="1" thickBot="1">
      <c r="A40" s="69">
        <v>12</v>
      </c>
      <c r="B40" s="70" t="s">
        <v>12</v>
      </c>
      <c r="C40" s="82" t="s">
        <v>21</v>
      </c>
      <c r="D40" s="186">
        <f>D25/'SHEET-4'!D40*1000</f>
        <v>680.99828136346889</v>
      </c>
      <c r="E40" s="57">
        <f>E25/'SHEET-4'!E40*1000</f>
        <v>631.23012155616391</v>
      </c>
      <c r="F40" s="57">
        <f>F25/'SHEET-4'!F40*1000</f>
        <v>637.05496978446627</v>
      </c>
      <c r="G40" s="202">
        <f>G25/'SHEET-4'!G40*1000</f>
        <v>633.98443056883912</v>
      </c>
      <c r="H40" s="159">
        <f t="shared" si="1"/>
        <v>6.8978838033191853E-2</v>
      </c>
      <c r="I40" s="160">
        <f t="shared" si="1"/>
        <v>-4.3444426706250793E-3</v>
      </c>
      <c r="N40" s="79">
        <f>(D25/'SHEET-4'!D40)*1000</f>
        <v>680.99828136346889</v>
      </c>
      <c r="O40" s="79">
        <f>(E25/'SHEET-4'!E40)*1000</f>
        <v>631.23012155616391</v>
      </c>
      <c r="P40" s="79">
        <f>(F25/'SHEET-4'!F40)*1000</f>
        <v>637.05496978446627</v>
      </c>
      <c r="R40" s="80"/>
    </row>
    <row r="41" spans="1:18" ht="23.25">
      <c r="P41" s="80"/>
    </row>
    <row r="42" spans="1:18" ht="23.25">
      <c r="P42" s="80"/>
    </row>
    <row r="43" spans="1:18" ht="12.75" customHeight="1">
      <c r="A43" s="324"/>
      <c r="B43" s="324"/>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40" zoomScale="60" zoomScaleNormal="60" workbookViewId="0">
      <selection activeCell="D53" sqref="D53"/>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69" t="s">
        <v>0</v>
      </c>
      <c r="B5" s="369"/>
      <c r="C5" s="369"/>
      <c r="D5" s="369"/>
      <c r="E5" s="369"/>
      <c r="F5" s="369"/>
      <c r="G5" s="369"/>
      <c r="H5" s="369"/>
      <c r="I5" s="369"/>
      <c r="J5" s="5"/>
    </row>
    <row r="6" spans="1:10" ht="8.25" customHeight="1">
      <c r="A6" s="5"/>
      <c r="B6" s="5"/>
      <c r="C6" s="5"/>
      <c r="D6" s="5"/>
      <c r="E6" s="5"/>
      <c r="F6" s="5"/>
      <c r="G6" s="5"/>
      <c r="H6" s="5"/>
      <c r="I6" s="5"/>
      <c r="J6" s="5"/>
    </row>
    <row r="7" spans="1:10" ht="30">
      <c r="A7" s="371" t="s">
        <v>20</v>
      </c>
      <c r="B7" s="371"/>
      <c r="C7" s="371"/>
      <c r="D7" s="371"/>
      <c r="E7" s="371"/>
      <c r="F7" s="371"/>
      <c r="G7" s="371"/>
      <c r="H7" s="371"/>
      <c r="I7" s="371"/>
      <c r="J7" s="5"/>
    </row>
    <row r="8" spans="1:10" ht="8.25" customHeight="1">
      <c r="A8" s="5"/>
      <c r="B8" s="5"/>
      <c r="C8" s="5"/>
      <c r="D8" s="5"/>
      <c r="E8" s="5"/>
      <c r="F8" s="5"/>
      <c r="G8" s="5"/>
      <c r="H8" s="5"/>
      <c r="I8" s="5"/>
      <c r="J8" s="5"/>
    </row>
    <row r="9" spans="1:10" ht="27.75">
      <c r="A9" s="370" t="s">
        <v>40</v>
      </c>
      <c r="B9" s="370"/>
      <c r="C9" s="370"/>
      <c r="D9" s="370"/>
      <c r="E9" s="370"/>
      <c r="F9" s="370"/>
      <c r="G9" s="370"/>
      <c r="H9" s="370"/>
      <c r="I9" s="370"/>
      <c r="J9" s="5"/>
    </row>
    <row r="10" spans="1:10" ht="13.5" thickBot="1">
      <c r="A10" s="5"/>
      <c r="B10" s="5"/>
      <c r="C10" s="5"/>
      <c r="D10" s="5"/>
      <c r="E10" s="5"/>
      <c r="F10" s="5"/>
      <c r="G10" s="5"/>
      <c r="H10" s="5"/>
      <c r="I10" s="5"/>
      <c r="J10" s="5"/>
    </row>
    <row r="11" spans="1:10" ht="18">
      <c r="A11" s="12"/>
      <c r="B11" s="50"/>
      <c r="C11" s="50"/>
      <c r="D11" s="372" t="s">
        <v>16</v>
      </c>
      <c r="E11" s="372"/>
      <c r="F11" s="372" t="s">
        <v>66</v>
      </c>
      <c r="G11" s="372"/>
      <c r="H11" s="372" t="s">
        <v>17</v>
      </c>
      <c r="I11" s="373"/>
      <c r="J11" s="5"/>
    </row>
    <row r="12" spans="1:10" ht="18">
      <c r="A12" s="13"/>
      <c r="B12" s="51"/>
      <c r="C12" s="51"/>
      <c r="D12" s="51" t="s">
        <v>14</v>
      </c>
      <c r="E12" s="51" t="s">
        <v>15</v>
      </c>
      <c r="F12" s="51" t="s">
        <v>14</v>
      </c>
      <c r="G12" s="51" t="s">
        <v>15</v>
      </c>
      <c r="H12" s="360" t="s">
        <v>14</v>
      </c>
      <c r="I12" s="362" t="s">
        <v>15</v>
      </c>
      <c r="J12" s="5"/>
    </row>
    <row r="13" spans="1:10" ht="27" customHeight="1" thickBot="1">
      <c r="A13" s="15" t="s">
        <v>38</v>
      </c>
      <c r="B13" s="16" t="s">
        <v>39</v>
      </c>
      <c r="C13" s="1"/>
      <c r="D13" s="318" t="str">
        <f>+'SHEET-5'!D13:E13</f>
        <v>Oct-2021 to Dec-2021</v>
      </c>
      <c r="E13" s="318"/>
      <c r="F13" s="318" t="str">
        <f>+'SHEET-5'!F13:G13</f>
        <v>Oct-2020 to Dec-2020</v>
      </c>
      <c r="G13" s="318"/>
      <c r="H13" s="361"/>
      <c r="I13" s="363"/>
      <c r="J13" s="5"/>
    </row>
    <row r="14" spans="1:10" ht="23.25">
      <c r="A14" s="127">
        <v>1</v>
      </c>
      <c r="B14" s="128" t="s">
        <v>4</v>
      </c>
      <c r="C14" s="129" t="s">
        <v>35</v>
      </c>
      <c r="D14" s="248">
        <v>96.262419430484044</v>
      </c>
      <c r="E14" s="246">
        <v>92.530929036781643</v>
      </c>
      <c r="F14" s="244">
        <v>90.467110619991786</v>
      </c>
      <c r="G14" s="244">
        <v>90.127853338573814</v>
      </c>
      <c r="H14" s="146">
        <f>(D14-F14)/F14</f>
        <v>6.4059841977661083E-2</v>
      </c>
      <c r="I14" s="147">
        <f>(E14-G14)/G14</f>
        <v>2.6662963880660147E-2</v>
      </c>
      <c r="J14" s="5"/>
    </row>
    <row r="15" spans="1:10" ht="23.25">
      <c r="A15" s="13">
        <v>2</v>
      </c>
      <c r="B15" s="14" t="s">
        <v>82</v>
      </c>
      <c r="C15" s="26" t="s">
        <v>35</v>
      </c>
      <c r="D15" s="247">
        <v>0</v>
      </c>
      <c r="E15" s="246">
        <v>0</v>
      </c>
      <c r="F15" s="238">
        <v>0</v>
      </c>
      <c r="G15" s="238">
        <v>0</v>
      </c>
      <c r="H15" s="193" t="e">
        <f t="shared" ref="H15:H18" si="0">(D15-F15)/F15</f>
        <v>#DIV/0!</v>
      </c>
      <c r="I15" s="194" t="e">
        <f t="shared" ref="I15:I25" si="1">(E15-G15)/G15</f>
        <v>#DIV/0!</v>
      </c>
      <c r="J15" s="5"/>
    </row>
    <row r="16" spans="1:10" ht="23.25">
      <c r="A16" s="13">
        <v>3</v>
      </c>
      <c r="B16" s="14" t="s">
        <v>7</v>
      </c>
      <c r="C16" s="26" t="s">
        <v>35</v>
      </c>
      <c r="D16" s="247">
        <v>0</v>
      </c>
      <c r="E16" s="246">
        <v>0</v>
      </c>
      <c r="F16" s="238">
        <v>0</v>
      </c>
      <c r="G16" s="238">
        <v>0</v>
      </c>
      <c r="H16" s="146">
        <v>0</v>
      </c>
      <c r="I16" s="143">
        <v>0</v>
      </c>
      <c r="J16" s="5"/>
    </row>
    <row r="17" spans="1:16" ht="23.25">
      <c r="A17" s="13">
        <v>4</v>
      </c>
      <c r="B17" s="14" t="s">
        <v>8</v>
      </c>
      <c r="C17" s="26" t="s">
        <v>35</v>
      </c>
      <c r="D17" s="247">
        <f>SUM(D14:D16)</f>
        <v>96.262419430484044</v>
      </c>
      <c r="E17" s="247">
        <f>SUM(E14:E16)</f>
        <v>92.530929036781643</v>
      </c>
      <c r="F17" s="238">
        <f>SUM(F14:F16)</f>
        <v>90.467110619991786</v>
      </c>
      <c r="G17" s="238">
        <f>SUM(G14:G16)</f>
        <v>90.127853338573814</v>
      </c>
      <c r="H17" s="146">
        <f t="shared" si="0"/>
        <v>6.4059841977661083E-2</v>
      </c>
      <c r="I17" s="143">
        <f t="shared" si="1"/>
        <v>2.6662963880660147E-2</v>
      </c>
      <c r="J17" s="5"/>
    </row>
    <row r="18" spans="1:16" ht="23.25">
      <c r="A18" s="13">
        <v>5</v>
      </c>
      <c r="B18" s="14" t="s">
        <v>2</v>
      </c>
      <c r="C18" s="26" t="s">
        <v>35</v>
      </c>
      <c r="D18" s="220">
        <v>19.872227823376281</v>
      </c>
      <c r="E18" s="246">
        <v>17.653203592939896</v>
      </c>
      <c r="F18" s="220">
        <v>19.463115326442516</v>
      </c>
      <c r="G18" s="220">
        <v>16.533394326163865</v>
      </c>
      <c r="H18" s="146">
        <f t="shared" si="0"/>
        <v>2.1019887621893031E-2</v>
      </c>
      <c r="I18" s="143">
        <f t="shared" si="1"/>
        <v>6.7730149338055046E-2</v>
      </c>
      <c r="J18" s="5"/>
    </row>
    <row r="19" spans="1:16" ht="18" customHeight="1">
      <c r="A19" s="13">
        <v>6</v>
      </c>
      <c r="B19" s="14" t="s">
        <v>3</v>
      </c>
      <c r="C19" s="26" t="s">
        <v>35</v>
      </c>
      <c r="D19" s="354">
        <v>84.366441894899694</v>
      </c>
      <c r="E19" s="355">
        <v>82.344650760197808</v>
      </c>
      <c r="F19" s="367">
        <v>88.10097355100558</v>
      </c>
      <c r="G19" s="367">
        <v>82.907739056312707</v>
      </c>
      <c r="H19" s="366">
        <f t="shared" ref="H19" si="2">(D19-F19)/F19</f>
        <v>-4.2389221203597706E-2</v>
      </c>
      <c r="I19" s="365">
        <f t="shared" si="1"/>
        <v>-6.7917458915679367E-3</v>
      </c>
      <c r="J19" s="5"/>
    </row>
    <row r="20" spans="1:16" ht="18" customHeight="1">
      <c r="A20" s="13">
        <v>7</v>
      </c>
      <c r="B20" s="14" t="s">
        <v>1</v>
      </c>
      <c r="C20" s="26" t="s">
        <v>35</v>
      </c>
      <c r="D20" s="354"/>
      <c r="E20" s="355"/>
      <c r="F20" s="368"/>
      <c r="G20" s="368"/>
      <c r="H20" s="366"/>
      <c r="I20" s="365"/>
      <c r="J20" s="5"/>
      <c r="P20" s="2"/>
    </row>
    <row r="21" spans="1:16" ht="23.25">
      <c r="A21" s="13">
        <v>8</v>
      </c>
      <c r="B21" s="14" t="s">
        <v>9</v>
      </c>
      <c r="C21" s="26" t="s">
        <v>35</v>
      </c>
      <c r="D21" s="220">
        <v>3.5694924601397142</v>
      </c>
      <c r="E21" s="246">
        <v>3.5454527027304139</v>
      </c>
      <c r="F21" s="220">
        <v>3.7259051090157644</v>
      </c>
      <c r="G21" s="220">
        <v>3.565668933647038</v>
      </c>
      <c r="H21" s="146">
        <f t="shared" ref="H21:H25" si="3">(D21-F21)/F21</f>
        <v>-4.1979772511535646E-2</v>
      </c>
      <c r="I21" s="143">
        <f t="shared" si="1"/>
        <v>-5.6696881546842003E-3</v>
      </c>
      <c r="J21" s="5"/>
    </row>
    <row r="22" spans="1:16" ht="23.25">
      <c r="A22" s="13">
        <v>9</v>
      </c>
      <c r="B22" s="14" t="s">
        <v>10</v>
      </c>
      <c r="C22" s="26" t="s">
        <v>35</v>
      </c>
      <c r="D22" s="247">
        <v>42.32886481079364</v>
      </c>
      <c r="E22" s="246">
        <v>39.032474223619431</v>
      </c>
      <c r="F22" s="238">
        <v>42.045386800855056</v>
      </c>
      <c r="G22" s="238">
        <v>35.667205762711241</v>
      </c>
      <c r="H22" s="146">
        <f t="shared" si="3"/>
        <v>6.7421905590084596E-3</v>
      </c>
      <c r="I22" s="143">
        <f t="shared" si="1"/>
        <v>9.4351895219850809E-2</v>
      </c>
      <c r="J22" s="5"/>
    </row>
    <row r="23" spans="1:16" ht="23.25">
      <c r="A23" s="13">
        <v>10</v>
      </c>
      <c r="B23" s="14" t="s">
        <v>5</v>
      </c>
      <c r="C23" s="26" t="s">
        <v>35</v>
      </c>
      <c r="D23" s="220">
        <v>49.238557908531192</v>
      </c>
      <c r="E23" s="246">
        <v>39.781558787092536</v>
      </c>
      <c r="F23" s="220">
        <v>37.494549910250541</v>
      </c>
      <c r="G23" s="220">
        <v>34.119945704913171</v>
      </c>
      <c r="H23" s="146">
        <f t="shared" si="3"/>
        <v>0.31321906854174519</v>
      </c>
      <c r="I23" s="143">
        <f t="shared" si="1"/>
        <v>0.1659326521543705</v>
      </c>
      <c r="J23" s="5"/>
    </row>
    <row r="24" spans="1:16" ht="23.25">
      <c r="A24" s="13">
        <v>11</v>
      </c>
      <c r="B24" s="14" t="s">
        <v>11</v>
      </c>
      <c r="C24" s="26" t="s">
        <v>35</v>
      </c>
      <c r="D24" s="247">
        <v>43.136970553044037</v>
      </c>
      <c r="E24" s="246">
        <v>39.128847641101537</v>
      </c>
      <c r="F24" s="238">
        <v>41.376825999530794</v>
      </c>
      <c r="G24" s="238">
        <v>35.446346657610988</v>
      </c>
      <c r="H24" s="146">
        <f t="shared" si="3"/>
        <v>4.2539380703904221E-2</v>
      </c>
      <c r="I24" s="143">
        <f t="shared" si="1"/>
        <v>0.10388943659162254</v>
      </c>
      <c r="J24" s="5"/>
    </row>
    <row r="25" spans="1:16" ht="24" thickBot="1">
      <c r="A25" s="15">
        <v>12</v>
      </c>
      <c r="B25" s="16" t="s">
        <v>12</v>
      </c>
      <c r="C25" s="27" t="s">
        <v>35</v>
      </c>
      <c r="D25" s="243">
        <v>71.011912003950741</v>
      </c>
      <c r="E25" s="243">
        <v>66.052852299534251</v>
      </c>
      <c r="F25" s="243">
        <v>66.747163504738253</v>
      </c>
      <c r="G25" s="243">
        <v>60.632745301939508</v>
      </c>
      <c r="H25" s="146">
        <f t="shared" si="3"/>
        <v>6.3894078418923986E-2</v>
      </c>
      <c r="I25" s="142">
        <f t="shared" si="1"/>
        <v>8.9392406208949379E-2</v>
      </c>
      <c r="J25" s="5"/>
    </row>
    <row r="26" spans="1:16" ht="8.25" customHeight="1">
      <c r="A26" s="6"/>
      <c r="B26" s="7"/>
      <c r="C26" s="8"/>
      <c r="D26" s="206"/>
      <c r="E26" s="206"/>
      <c r="F26" s="206"/>
      <c r="G26" s="206"/>
      <c r="H26" s="10"/>
      <c r="I26" s="11"/>
      <c r="J26" s="5"/>
    </row>
    <row r="27" spans="1:16" ht="27" customHeight="1">
      <c r="A27" s="3" t="s">
        <v>6</v>
      </c>
      <c r="B27" s="9" t="s">
        <v>103</v>
      </c>
      <c r="C27" s="8"/>
      <c r="D27" s="206"/>
      <c r="E27" s="206"/>
      <c r="F27" s="206"/>
      <c r="G27" s="206"/>
      <c r="H27" s="10"/>
      <c r="I27" s="11"/>
      <c r="J27" s="5"/>
    </row>
    <row r="28" spans="1:16" ht="9" customHeight="1" thickBot="1">
      <c r="A28" s="6"/>
      <c r="B28" s="7"/>
      <c r="C28" s="8"/>
      <c r="D28" s="206"/>
      <c r="E28" s="206"/>
      <c r="F28" s="206"/>
      <c r="G28" s="206"/>
      <c r="H28" s="10"/>
      <c r="I28" s="145"/>
      <c r="J28" s="5"/>
    </row>
    <row r="29" spans="1:16" ht="23.25">
      <c r="A29" s="12">
        <v>1</v>
      </c>
      <c r="B29" s="17" t="s">
        <v>4</v>
      </c>
      <c r="C29" s="4" t="s">
        <v>35</v>
      </c>
      <c r="D29" s="185">
        <v>417.60639245974494</v>
      </c>
      <c r="E29" s="185">
        <v>417.71288360414712</v>
      </c>
      <c r="F29" s="239">
        <v>417.73171928396397</v>
      </c>
      <c r="G29" s="239">
        <v>418.63927093417101</v>
      </c>
      <c r="H29" s="139">
        <f>(D29-F29)/F29</f>
        <v>-3.0001749552045873E-4</v>
      </c>
      <c r="I29" s="140">
        <f>(E29-G29)/G29</f>
        <v>-2.2128533903584872E-3</v>
      </c>
      <c r="J29" s="5"/>
    </row>
    <row r="30" spans="1:16" ht="23.25">
      <c r="A30" s="13">
        <v>2</v>
      </c>
      <c r="B30" s="14" t="s">
        <v>82</v>
      </c>
      <c r="C30" s="26" t="s">
        <v>35</v>
      </c>
      <c r="D30" s="247">
        <v>0</v>
      </c>
      <c r="E30" s="246">
        <v>0</v>
      </c>
      <c r="F30" s="239">
        <v>0</v>
      </c>
      <c r="G30" s="239">
        <v>0</v>
      </c>
      <c r="H30" s="190" t="e">
        <f t="shared" ref="H30:H40" si="4">(D30-F30)/F30</f>
        <v>#DIV/0!</v>
      </c>
      <c r="I30" s="194" t="e">
        <f t="shared" ref="I30:I40" si="5">(E30-G30)/G30</f>
        <v>#DIV/0!</v>
      </c>
      <c r="J30" s="5"/>
    </row>
    <row r="31" spans="1:16" ht="23.25">
      <c r="A31" s="13">
        <v>3</v>
      </c>
      <c r="B31" s="14" t="s">
        <v>7</v>
      </c>
      <c r="C31" s="26" t="s">
        <v>35</v>
      </c>
      <c r="D31" s="247">
        <v>0</v>
      </c>
      <c r="E31" s="246">
        <v>0</v>
      </c>
      <c r="F31" s="239">
        <v>0</v>
      </c>
      <c r="G31" s="239">
        <v>0</v>
      </c>
      <c r="H31" s="144">
        <v>0</v>
      </c>
      <c r="I31" s="143">
        <v>0</v>
      </c>
      <c r="J31" s="5"/>
    </row>
    <row r="32" spans="1:16" ht="23.25">
      <c r="A32" s="13">
        <v>4</v>
      </c>
      <c r="B32" s="14" t="s">
        <v>8</v>
      </c>
      <c r="C32" s="26" t="s">
        <v>35</v>
      </c>
      <c r="D32" s="247">
        <f>D29</f>
        <v>417.60639245974494</v>
      </c>
      <c r="E32" s="246">
        <f>E29</f>
        <v>417.71288360414712</v>
      </c>
      <c r="F32" s="239">
        <f>SUM(F29:F31)</f>
        <v>417.73171928396397</v>
      </c>
      <c r="G32" s="239">
        <f>SUM(G29:G31)</f>
        <v>418.63927093417101</v>
      </c>
      <c r="H32" s="144">
        <f t="shared" si="4"/>
        <v>-3.0001749552045873E-4</v>
      </c>
      <c r="I32" s="143">
        <f t="shared" si="5"/>
        <v>-2.2128533903584872E-3</v>
      </c>
      <c r="J32" s="5"/>
    </row>
    <row r="33" spans="1:10" ht="23.25">
      <c r="A33" s="13">
        <v>5</v>
      </c>
      <c r="B33" s="14" t="s">
        <v>2</v>
      </c>
      <c r="C33" s="26" t="s">
        <v>35</v>
      </c>
      <c r="D33" s="247">
        <v>355.22122294539219</v>
      </c>
      <c r="E33" s="246">
        <v>366.28444340438716</v>
      </c>
      <c r="F33" s="245">
        <v>360.46759504992474</v>
      </c>
      <c r="G33" s="245">
        <v>367.76134415401003</v>
      </c>
      <c r="H33" s="144">
        <f t="shared" si="4"/>
        <v>-1.4554351560522193E-2</v>
      </c>
      <c r="I33" s="143">
        <f t="shared" si="5"/>
        <v>-4.0159216652318379E-3</v>
      </c>
      <c r="J33" s="5"/>
    </row>
    <row r="34" spans="1:10" ht="18" customHeight="1">
      <c r="A34" s="13">
        <v>6</v>
      </c>
      <c r="B34" s="14" t="s">
        <v>3</v>
      </c>
      <c r="C34" s="26" t="s">
        <v>35</v>
      </c>
      <c r="D34" s="356">
        <v>464.28384246684027</v>
      </c>
      <c r="E34" s="355">
        <v>468.91491470692159</v>
      </c>
      <c r="F34" s="321">
        <v>467.2643071005466</v>
      </c>
      <c r="G34" s="321">
        <v>463.26367133096136</v>
      </c>
      <c r="H34" s="366">
        <f t="shared" si="4"/>
        <v>-6.3785411990926848E-3</v>
      </c>
      <c r="I34" s="365">
        <f t="shared" si="5"/>
        <v>1.2198762229130019E-2</v>
      </c>
      <c r="J34" s="5"/>
    </row>
    <row r="35" spans="1:10" ht="18" customHeight="1">
      <c r="A35" s="13">
        <v>7</v>
      </c>
      <c r="B35" s="14" t="s">
        <v>1</v>
      </c>
      <c r="C35" s="26" t="s">
        <v>35</v>
      </c>
      <c r="D35" s="357"/>
      <c r="E35" s="355" t="e">
        <v>#DIV/0!</v>
      </c>
      <c r="F35" s="323"/>
      <c r="G35" s="323" t="e">
        <v>#DIV/0!</v>
      </c>
      <c r="H35" s="366"/>
      <c r="I35" s="365"/>
      <c r="J35" s="5"/>
    </row>
    <row r="36" spans="1:10" ht="23.25">
      <c r="A36" s="13">
        <v>8</v>
      </c>
      <c r="B36" s="14" t="s">
        <v>9</v>
      </c>
      <c r="C36" s="26" t="s">
        <v>35</v>
      </c>
      <c r="D36" s="247">
        <v>337.5600861713894</v>
      </c>
      <c r="E36" s="246">
        <v>343.97262943333124</v>
      </c>
      <c r="F36" s="245">
        <v>340.00617102147839</v>
      </c>
      <c r="G36" s="245">
        <v>343.31491573348637</v>
      </c>
      <c r="H36" s="144">
        <f t="shared" si="4"/>
        <v>-7.1942366302947874E-3</v>
      </c>
      <c r="I36" s="143">
        <f t="shared" si="5"/>
        <v>1.915773739220355E-3</v>
      </c>
      <c r="J36" s="5"/>
    </row>
    <row r="37" spans="1:10" ht="23.25">
      <c r="A37" s="13">
        <v>9</v>
      </c>
      <c r="B37" s="14" t="s">
        <v>10</v>
      </c>
      <c r="C37" s="26" t="s">
        <v>35</v>
      </c>
      <c r="D37" s="247">
        <v>393.76154810871219</v>
      </c>
      <c r="E37" s="246">
        <v>400.20552405576757</v>
      </c>
      <c r="F37" s="239">
        <v>395.82419623908572</v>
      </c>
      <c r="G37" s="239">
        <v>394.98069635274476</v>
      </c>
      <c r="H37" s="144">
        <f t="shared" si="4"/>
        <v>-5.21102082685125E-3</v>
      </c>
      <c r="I37" s="143">
        <f t="shared" si="5"/>
        <v>1.3228058361507072E-2</v>
      </c>
      <c r="J37" s="5"/>
    </row>
    <row r="38" spans="1:10" ht="23.25">
      <c r="A38" s="13">
        <v>10</v>
      </c>
      <c r="B38" s="14" t="s">
        <v>223</v>
      </c>
      <c r="C38" s="26" t="s">
        <v>35</v>
      </c>
      <c r="D38" s="247">
        <v>99.82383473779332</v>
      </c>
      <c r="E38" s="246">
        <v>88.582005985807825</v>
      </c>
      <c r="F38" s="245">
        <v>93.313157766150184</v>
      </c>
      <c r="G38" s="245">
        <v>86.37771116073769</v>
      </c>
      <c r="H38" s="144">
        <f t="shared" si="4"/>
        <v>6.977233572953756E-2</v>
      </c>
      <c r="I38" s="143">
        <f t="shared" si="5"/>
        <v>2.5519254856941391E-2</v>
      </c>
      <c r="J38" s="5"/>
    </row>
    <row r="39" spans="1:10" ht="23.25">
      <c r="A39" s="13">
        <v>11</v>
      </c>
      <c r="B39" s="14" t="s">
        <v>11</v>
      </c>
      <c r="C39" s="26" t="s">
        <v>35</v>
      </c>
      <c r="D39" s="247">
        <v>359.38480363119436</v>
      </c>
      <c r="E39" s="246">
        <v>360.11362406392232</v>
      </c>
      <c r="F39" s="239">
        <v>351.38247548472236</v>
      </c>
      <c r="G39" s="239">
        <v>350.93006711478165</v>
      </c>
      <c r="H39" s="144">
        <f t="shared" si="4"/>
        <v>2.277383963281893E-2</v>
      </c>
      <c r="I39" s="143">
        <f t="shared" si="5"/>
        <v>2.6169193835810376E-2</v>
      </c>
      <c r="J39" s="5"/>
    </row>
    <row r="40" spans="1:10" ht="24" thickBot="1">
      <c r="A40" s="15"/>
      <c r="B40" s="16" t="s">
        <v>12</v>
      </c>
      <c r="C40" s="27" t="s">
        <v>35</v>
      </c>
      <c r="D40" s="243">
        <v>389.9336914818868</v>
      </c>
      <c r="E40" s="246">
        <v>389.1537418206197</v>
      </c>
      <c r="F40" s="239">
        <v>385.67241129211118</v>
      </c>
      <c r="G40" s="239">
        <v>382.11704609169675</v>
      </c>
      <c r="H40" s="141">
        <f t="shared" si="4"/>
        <v>1.1048962967040162E-2</v>
      </c>
      <c r="I40" s="142">
        <f t="shared" si="5"/>
        <v>1.8415027020894412E-2</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07">
        <f>'SHEET-4'!D29/'SHEET-4'!D14*10^6</f>
        <v>513635.80952380947</v>
      </c>
      <c r="E44" s="207">
        <f>'SHEET-4'!E29/'SHEET-4'!E14*10^6</f>
        <v>1454235.4285714284</v>
      </c>
      <c r="F44" s="45">
        <f>'SHEET-4'!F29/'SHEET-4'!F14*10^6</f>
        <v>396186.11339359079</v>
      </c>
      <c r="G44" s="45">
        <f>'SHEET-4'!G29/'SHEET-4'!G14*10^6</f>
        <v>998638.86606409203</v>
      </c>
      <c r="H44" s="139">
        <f>(D44-F44)/F44</f>
        <v>0.29645081480566277</v>
      </c>
      <c r="I44" s="140">
        <f>(E44-G44)/G44</f>
        <v>0.45621753567730305</v>
      </c>
      <c r="J44" s="5"/>
    </row>
    <row r="45" spans="1:10" ht="23.25">
      <c r="A45" s="13">
        <v>2</v>
      </c>
      <c r="B45" s="14" t="s">
        <v>82</v>
      </c>
      <c r="C45" s="26" t="s">
        <v>37</v>
      </c>
      <c r="D45" s="208">
        <v>0</v>
      </c>
      <c r="E45" s="209">
        <v>0</v>
      </c>
      <c r="F45" s="46">
        <v>0</v>
      </c>
      <c r="G45" s="213">
        <v>0</v>
      </c>
      <c r="H45" s="190" t="e">
        <f t="shared" ref="H45:H55" si="6">(D45-F45)/F45</f>
        <v>#DIV/0!</v>
      </c>
      <c r="I45" s="194" t="e">
        <f t="shared" ref="I45:I54" si="7">(E45-G45)/G45</f>
        <v>#DIV/0!</v>
      </c>
      <c r="J45" s="5"/>
    </row>
    <row r="46" spans="1:10" ht="24" thickBot="1">
      <c r="A46" s="13">
        <v>3</v>
      </c>
      <c r="B46" s="14" t="s">
        <v>7</v>
      </c>
      <c r="C46" s="26" t="s">
        <v>37</v>
      </c>
      <c r="D46" s="210">
        <v>0</v>
      </c>
      <c r="E46" s="113">
        <f t="shared" ref="E46" si="8">D46</f>
        <v>0</v>
      </c>
      <c r="F46" s="46">
        <v>0</v>
      </c>
      <c r="G46" s="213">
        <v>0</v>
      </c>
      <c r="H46" s="52">
        <v>0</v>
      </c>
      <c r="I46" s="93">
        <v>0</v>
      </c>
      <c r="J46" s="5"/>
    </row>
    <row r="47" spans="1:10" ht="24" thickBot="1">
      <c r="A47" s="13">
        <v>4</v>
      </c>
      <c r="B47" s="14" t="s">
        <v>8</v>
      </c>
      <c r="C47" s="26" t="s">
        <v>37</v>
      </c>
      <c r="D47" s="207">
        <f>'SHEET-4'!D32/'SHEET-4'!D17*10^6</f>
        <v>513635.80952380947</v>
      </c>
      <c r="E47" s="207">
        <f>'SHEET-4'!E32/'SHEET-4'!E17*10^6</f>
        <v>1454235.4285714284</v>
      </c>
      <c r="F47" s="46">
        <f>'SHEET-4'!F32/'SHEET-4'!F17*10^6</f>
        <v>396186.11339359079</v>
      </c>
      <c r="G47" s="213">
        <f>'SHEET-4'!G32/'SHEET-4'!G17*10^6</f>
        <v>998638.86606409203</v>
      </c>
      <c r="H47" s="52">
        <f t="shared" si="6"/>
        <v>0.29645081480566277</v>
      </c>
      <c r="I47" s="93">
        <f t="shared" si="7"/>
        <v>0.45621753567730305</v>
      </c>
      <c r="J47" s="5"/>
    </row>
    <row r="48" spans="1:10" ht="23.25">
      <c r="A48" s="13">
        <v>5</v>
      </c>
      <c r="B48" s="14" t="s">
        <v>2</v>
      </c>
      <c r="C48" s="26" t="s">
        <v>37</v>
      </c>
      <c r="D48" s="207">
        <f>'SHEET-4'!D33/'SHEET-4'!D18*10^6</f>
        <v>192.5729981172415</v>
      </c>
      <c r="E48" s="207">
        <f>'SHEET-4'!E33/'SHEET-4'!E18*10^6</f>
        <v>809.29542101089658</v>
      </c>
      <c r="F48" s="46">
        <f>'SHEET-4'!F33/'SHEET-4'!F18*10^6</f>
        <v>206.5214493099819</v>
      </c>
      <c r="G48" s="213">
        <f>'SHEET-4'!G33/'SHEET-4'!G18*10^6</f>
        <v>873.83534459993268</v>
      </c>
      <c r="H48" s="52">
        <f t="shared" si="6"/>
        <v>-6.7539963714879026E-2</v>
      </c>
      <c r="I48" s="93">
        <f t="shared" si="7"/>
        <v>-7.3858220530761853E-2</v>
      </c>
      <c r="J48" s="5"/>
    </row>
    <row r="49" spans="1:10" ht="18" customHeight="1">
      <c r="A49" s="13">
        <v>6</v>
      </c>
      <c r="B49" s="14" t="s">
        <v>3</v>
      </c>
      <c r="C49" s="26" t="s">
        <v>37</v>
      </c>
      <c r="D49" s="364">
        <f>'SHEET-4'!D34/'SHEET-4'!D19*10^6</f>
        <v>1095.7433114328674</v>
      </c>
      <c r="E49" s="364">
        <f>'SHEET-4'!E34/'SHEET-4'!E19*10^6</f>
        <v>3548.7225300187429</v>
      </c>
      <c r="F49" s="364">
        <f>'SHEET-4'!F34/'SHEET-4'!F19*10^6</f>
        <v>1093.6920197870197</v>
      </c>
      <c r="G49" s="364">
        <f>'SHEET-4'!G34/'SHEET-4'!G19*10^6</f>
        <v>3125.3854224229754</v>
      </c>
      <c r="H49" s="366">
        <f t="shared" si="6"/>
        <v>1.8755660722907166E-3</v>
      </c>
      <c r="I49" s="365">
        <f t="shared" si="7"/>
        <v>0.13545116853702244</v>
      </c>
      <c r="J49" s="5"/>
    </row>
    <row r="50" spans="1:10" ht="18" customHeight="1" thickBot="1">
      <c r="A50" s="13">
        <v>7</v>
      </c>
      <c r="B50" s="14" t="s">
        <v>1</v>
      </c>
      <c r="C50" s="26" t="s">
        <v>37</v>
      </c>
      <c r="D50" s="364"/>
      <c r="E50" s="364"/>
      <c r="F50" s="364"/>
      <c r="G50" s="364"/>
      <c r="H50" s="366"/>
      <c r="I50" s="365"/>
      <c r="J50" s="5"/>
    </row>
    <row r="51" spans="1:10" ht="24" thickBot="1">
      <c r="A51" s="13">
        <v>8</v>
      </c>
      <c r="B51" s="14" t="s">
        <v>9</v>
      </c>
      <c r="C51" s="26" t="s">
        <v>37</v>
      </c>
      <c r="D51" s="207">
        <f>'SHEET-4'!D36/'SHEET-4'!D21*10^6</f>
        <v>3578.4741249565864</v>
      </c>
      <c r="E51" s="207">
        <f>'SHEET-4'!E36/'SHEET-4'!E21*10^6</f>
        <v>10912.978041909468</v>
      </c>
      <c r="F51" s="46">
        <f>'SHEET-4'!F36/'SHEET-4'!F21*10^6</f>
        <v>3358.9753916790851</v>
      </c>
      <c r="G51" s="213">
        <f>'SHEET-4'!G36/'SHEET-4'!G21*10^6</f>
        <v>10209.432518426034</v>
      </c>
      <c r="H51" s="52">
        <f t="shared" si="6"/>
        <v>6.5346931037734757E-2</v>
      </c>
      <c r="I51" s="93">
        <f t="shared" si="7"/>
        <v>6.8911325111721058E-2</v>
      </c>
      <c r="J51" s="5"/>
    </row>
    <row r="52" spans="1:10" ht="24" thickBot="1">
      <c r="A52" s="13">
        <v>9</v>
      </c>
      <c r="B52" s="14" t="s">
        <v>10</v>
      </c>
      <c r="C52" s="26" t="s">
        <v>37</v>
      </c>
      <c r="D52" s="207">
        <f>'SHEET-4'!D37/'SHEET-4'!D22*10^6</f>
        <v>329.45530408466539</v>
      </c>
      <c r="E52" s="207">
        <f>'SHEET-4'!E37/'SHEET-4'!E22*10^6</f>
        <v>1223.1323393867588</v>
      </c>
      <c r="F52" s="46">
        <f>'SHEET-4'!F37/'SHEET-4'!F22*10^6</f>
        <v>337.39953366727809</v>
      </c>
      <c r="G52" s="213">
        <f>'SHEET-4'!G37/'SHEET-4'!G22*10^6</f>
        <v>1216.5562460056512</v>
      </c>
      <c r="H52" s="52">
        <f t="shared" si="6"/>
        <v>-2.3545466990617714E-2</v>
      </c>
      <c r="I52" s="93">
        <f t="shared" si="7"/>
        <v>5.4054988437229759E-3</v>
      </c>
      <c r="J52" s="5"/>
    </row>
    <row r="53" spans="1:10" ht="24" thickBot="1">
      <c r="A53" s="13">
        <v>10</v>
      </c>
      <c r="B53" s="14" t="s">
        <v>5</v>
      </c>
      <c r="C53" s="26" t="s">
        <v>37</v>
      </c>
      <c r="D53" s="207">
        <f>'SHEET-4'!D38/'SHEET-4'!D23*10^6</f>
        <v>1648.5999788143076</v>
      </c>
      <c r="E53" s="207">
        <f>'SHEET-4'!E38/'SHEET-4'!E23*10^6</f>
        <v>4307.288382674139</v>
      </c>
      <c r="F53" s="46">
        <f>'SHEET-4'!F38/'SHEET-4'!F23*10^6</f>
        <v>1975.2067882104</v>
      </c>
      <c r="G53" s="213">
        <f>'SHEET-4'!G38/'SHEET-4'!G23*10^6</f>
        <v>5156.43234231731</v>
      </c>
      <c r="H53" s="52">
        <f t="shared" si="6"/>
        <v>-0.16535322344249762</v>
      </c>
      <c r="I53" s="93">
        <f t="shared" si="7"/>
        <v>-0.1646766413813866</v>
      </c>
      <c r="J53" s="5"/>
    </row>
    <row r="54" spans="1:10" ht="24" thickBot="1">
      <c r="A54" s="13">
        <v>11</v>
      </c>
      <c r="B54" s="14" t="s">
        <v>11</v>
      </c>
      <c r="C54" s="26" t="s">
        <v>37</v>
      </c>
      <c r="D54" s="207">
        <f>'SHEET-4'!D39/'SHEET-4'!D24*10^6</f>
        <v>406.32425543222024</v>
      </c>
      <c r="E54" s="207">
        <f>'SHEET-4'!E39/'SHEET-4'!E24*10^6</f>
        <v>1402.8517025326651</v>
      </c>
      <c r="F54" s="46">
        <f>'SHEET-4'!F39/'SHEET-4'!F24*10^6</f>
        <v>429.60053158576613</v>
      </c>
      <c r="G54" s="213">
        <f>'SHEET-4'!G39/'SHEET-4'!G24*10^6</f>
        <v>1438.3531068679301</v>
      </c>
      <c r="H54" s="52">
        <f t="shared" si="6"/>
        <v>-5.4181208918962852E-2</v>
      </c>
      <c r="I54" s="93">
        <f t="shared" si="7"/>
        <v>-2.4681981194847744E-2</v>
      </c>
      <c r="J54" s="5"/>
    </row>
    <row r="55" spans="1:10" ht="24" thickBot="1">
      <c r="A55" s="15"/>
      <c r="B55" s="16" t="s">
        <v>12</v>
      </c>
      <c r="C55" s="27" t="s">
        <v>37</v>
      </c>
      <c r="D55" s="207">
        <f>'SHEET-4'!D40/'SHEET-4'!D25*10^6</f>
        <v>802.01678075784503</v>
      </c>
      <c r="E55" s="207">
        <f>'SHEET-4'!E40/'SHEET-4'!E25*10^6</f>
        <v>2522.9646495040874</v>
      </c>
      <c r="F55" s="126">
        <f>'SHEET-4'!F40/'SHEET-4'!F25*10^6</f>
        <v>719.14710323079623</v>
      </c>
      <c r="G55" s="126">
        <f>'SHEET-4'!G40/'SHEET-4'!G25*10^6</f>
        <v>2167.9329884000576</v>
      </c>
      <c r="H55" s="141">
        <f t="shared" si="6"/>
        <v>0.11523327724571726</v>
      </c>
      <c r="I55" s="142">
        <f>(E55-G55)/G55</f>
        <v>0.16376505316524773</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24"/>
      <c r="B58" s="324"/>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9">
    <mergeCell ref="A5:I5"/>
    <mergeCell ref="A9:I9"/>
    <mergeCell ref="A7:I7"/>
    <mergeCell ref="H11:I11"/>
    <mergeCell ref="D11:E11"/>
    <mergeCell ref="F11:G11"/>
    <mergeCell ref="E19:E20"/>
    <mergeCell ref="E34:E35"/>
    <mergeCell ref="G49:G50"/>
    <mergeCell ref="F34:F35"/>
    <mergeCell ref="G34:G35"/>
    <mergeCell ref="F19:F20"/>
    <mergeCell ref="G19:G20"/>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s>
  <phoneticPr fontId="3"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6" zoomScale="60" zoomScaleNormal="60" workbookViewId="0">
      <selection activeCell="D30" sqref="D30"/>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c r="E1" s="86" t="s">
        <v>227</v>
      </c>
    </row>
    <row r="4" spans="1:7" ht="37.5">
      <c r="A4" s="311" t="s">
        <v>0</v>
      </c>
      <c r="B4" s="311"/>
      <c r="C4" s="311"/>
      <c r="D4" s="311"/>
      <c r="E4" s="311"/>
    </row>
    <row r="5" spans="1:7" ht="18" customHeight="1">
      <c r="A5" s="87"/>
      <c r="B5" s="87"/>
      <c r="C5" s="87"/>
    </row>
    <row r="6" spans="1:7" ht="30">
      <c r="A6" s="312" t="s">
        <v>99</v>
      </c>
      <c r="B6" s="312"/>
      <c r="C6" s="312"/>
      <c r="D6" s="312"/>
      <c r="E6" s="312"/>
    </row>
    <row r="7" spans="1:7" ht="18" customHeight="1" thickBot="1"/>
    <row r="8" spans="1:7" ht="18" customHeight="1">
      <c r="A8" s="88"/>
      <c r="B8" s="89"/>
      <c r="C8" s="130" t="s">
        <v>105</v>
      </c>
      <c r="D8" s="130" t="s">
        <v>66</v>
      </c>
      <c r="E8" s="131" t="s">
        <v>17</v>
      </c>
    </row>
    <row r="9" spans="1:7" ht="18" customHeight="1">
      <c r="A9" s="90"/>
      <c r="B9" s="49"/>
      <c r="C9" s="152" t="s">
        <v>235</v>
      </c>
      <c r="D9" s="225" t="s">
        <v>236</v>
      </c>
      <c r="E9" s="30"/>
    </row>
    <row r="10" spans="1:7" ht="20.25">
      <c r="A10" s="90" t="s">
        <v>38</v>
      </c>
      <c r="B10" s="92" t="s">
        <v>84</v>
      </c>
      <c r="C10" s="148" t="s">
        <v>62</v>
      </c>
      <c r="D10" s="153" t="s">
        <v>62</v>
      </c>
      <c r="E10" s="132"/>
    </row>
    <row r="11" spans="1:7" ht="23.25">
      <c r="A11" s="90">
        <v>1</v>
      </c>
      <c r="B11" s="92" t="s">
        <v>85</v>
      </c>
      <c r="C11" s="149">
        <f>5533.52-111.24</f>
        <v>5422.2800000000007</v>
      </c>
      <c r="D11" s="200">
        <v>4572.51</v>
      </c>
      <c r="E11" s="170">
        <f>(C11-D11)/D11</f>
        <v>0.18584322396233149</v>
      </c>
    </row>
    <row r="12" spans="1:7" ht="23.25">
      <c r="A12" s="90">
        <v>2</v>
      </c>
      <c r="B12" s="92" t="s">
        <v>86</v>
      </c>
      <c r="C12" s="149">
        <f>182.34-58.74</f>
        <v>123.6</v>
      </c>
      <c r="D12" s="200">
        <v>110.33</v>
      </c>
      <c r="E12" s="170">
        <f>(C12-D12)/D12</f>
        <v>0.12027553702528773</v>
      </c>
      <c r="F12" s="187"/>
      <c r="G12" s="201"/>
    </row>
    <row r="13" spans="1:7" ht="23.25">
      <c r="A13" s="90">
        <v>3</v>
      </c>
      <c r="B13" s="92" t="s">
        <v>126</v>
      </c>
      <c r="C13" s="149">
        <v>58.74</v>
      </c>
      <c r="D13" s="200">
        <v>51.2</v>
      </c>
      <c r="E13" s="170">
        <f>(C13-D13)/D13</f>
        <v>0.14726562499999998</v>
      </c>
    </row>
    <row r="14" spans="1:7" ht="23.25">
      <c r="A14" s="90">
        <v>4</v>
      </c>
      <c r="B14" s="92" t="s">
        <v>87</v>
      </c>
      <c r="C14" s="149">
        <v>103.01</v>
      </c>
      <c r="D14" s="200">
        <v>116.32</v>
      </c>
      <c r="E14" s="170">
        <f>(C14-D14)/D14</f>
        <v>-0.11442572214580458</v>
      </c>
    </row>
    <row r="15" spans="1:7" ht="23.25">
      <c r="A15" s="90">
        <v>5</v>
      </c>
      <c r="B15" s="92" t="s">
        <v>120</v>
      </c>
      <c r="C15" s="149">
        <f>SUM(C11:C14)</f>
        <v>5707.630000000001</v>
      </c>
      <c r="D15" s="200">
        <f>SUM(D11:D14)</f>
        <v>4850.3599999999997</v>
      </c>
      <c r="E15" s="170">
        <f>(C15-D15)/D15</f>
        <v>0.17674358191969286</v>
      </c>
    </row>
    <row r="16" spans="1:7" ht="17.25" customHeight="1">
      <c r="A16" s="90"/>
      <c r="B16" s="92"/>
      <c r="C16" s="149"/>
      <c r="D16" s="200"/>
      <c r="E16" s="151"/>
    </row>
    <row r="17" spans="1:11" ht="23.25" customHeight="1">
      <c r="A17" s="90" t="s">
        <v>6</v>
      </c>
      <c r="B17" s="92" t="s">
        <v>88</v>
      </c>
      <c r="C17" s="154"/>
      <c r="D17" s="154"/>
      <c r="E17" s="151"/>
    </row>
    <row r="18" spans="1:11" ht="23.25">
      <c r="A18" s="90"/>
      <c r="B18" s="92" t="s">
        <v>89</v>
      </c>
      <c r="C18" s="154"/>
      <c r="D18" s="154"/>
      <c r="E18" s="151"/>
      <c r="K18" s="85" t="s">
        <v>128</v>
      </c>
    </row>
    <row r="19" spans="1:11" ht="18" customHeight="1">
      <c r="A19" s="90">
        <v>1</v>
      </c>
      <c r="B19" s="92" t="s">
        <v>109</v>
      </c>
      <c r="C19" s="308">
        <f>4964.53-111.24</f>
        <v>4853.29</v>
      </c>
      <c r="D19" s="308">
        <v>4014.45</v>
      </c>
      <c r="E19" s="374">
        <f>(C19-D19)/D19</f>
        <v>0.20895514952235056</v>
      </c>
    </row>
    <row r="20" spans="1:11" ht="18" customHeight="1">
      <c r="A20" s="90">
        <v>2</v>
      </c>
      <c r="B20" s="92" t="s">
        <v>90</v>
      </c>
      <c r="C20" s="309"/>
      <c r="D20" s="309"/>
      <c r="E20" s="375"/>
    </row>
    <row r="21" spans="1:11" ht="18" customHeight="1">
      <c r="A21" s="90">
        <v>3</v>
      </c>
      <c r="B21" s="92" t="s">
        <v>91</v>
      </c>
      <c r="C21" s="310"/>
      <c r="D21" s="310"/>
      <c r="E21" s="376"/>
    </row>
    <row r="22" spans="1:11" ht="23.25">
      <c r="A22" s="90">
        <v>4</v>
      </c>
      <c r="B22" s="92" t="s">
        <v>92</v>
      </c>
      <c r="C22" s="171"/>
      <c r="D22" s="200"/>
      <c r="E22" s="170">
        <v>0</v>
      </c>
    </row>
    <row r="23" spans="1:11" ht="25.5" customHeight="1">
      <c r="A23" s="90">
        <v>5</v>
      </c>
      <c r="B23" s="92" t="s">
        <v>93</v>
      </c>
      <c r="C23" s="171">
        <v>434.99</v>
      </c>
      <c r="D23" s="200">
        <v>397.08</v>
      </c>
      <c r="E23" s="170">
        <f>(C23-D23)/D23</f>
        <v>9.5471945199959773E-2</v>
      </c>
    </row>
    <row r="24" spans="1:11" ht="23.25">
      <c r="A24" s="90">
        <v>6</v>
      </c>
      <c r="B24" s="92" t="s">
        <v>27</v>
      </c>
      <c r="C24" s="171">
        <v>59.9</v>
      </c>
      <c r="D24" s="200">
        <v>48.58</v>
      </c>
      <c r="E24" s="170">
        <f>(C24-D24)/D24</f>
        <v>0.23301770275833678</v>
      </c>
    </row>
    <row r="25" spans="1:11" ht="23.25">
      <c r="A25" s="90">
        <v>7</v>
      </c>
      <c r="B25" s="92" t="s">
        <v>94</v>
      </c>
      <c r="C25" s="171">
        <v>63.13</v>
      </c>
      <c r="D25" s="200">
        <v>60.79</v>
      </c>
      <c r="E25" s="170">
        <f>(C25-D25)/D25</f>
        <v>3.8493173219279544E-2</v>
      </c>
    </row>
    <row r="26" spans="1:11" ht="23.25">
      <c r="A26" s="90">
        <v>8</v>
      </c>
      <c r="B26" s="92" t="s">
        <v>95</v>
      </c>
      <c r="C26" s="171">
        <v>25.97</v>
      </c>
      <c r="D26" s="200">
        <v>38.159999999999997</v>
      </c>
      <c r="E26" s="232">
        <f>(C26-D26)/D26</f>
        <v>-0.31944444444444442</v>
      </c>
    </row>
    <row r="27" spans="1:11" ht="12.75" customHeight="1">
      <c r="A27" s="90"/>
      <c r="B27" s="92"/>
      <c r="C27" s="171"/>
      <c r="D27" s="200"/>
      <c r="E27" s="151"/>
    </row>
    <row r="28" spans="1:11" ht="23.25">
      <c r="A28" s="90">
        <v>9</v>
      </c>
      <c r="B28" s="92" t="s">
        <v>28</v>
      </c>
      <c r="C28" s="171">
        <v>201.44</v>
      </c>
      <c r="D28" s="200">
        <v>211.05</v>
      </c>
      <c r="E28" s="170">
        <f t="shared" ref="E28:E33" si="0">(C28-D28)/D28</f>
        <v>-4.5534233593935151E-2</v>
      </c>
    </row>
    <row r="29" spans="1:11" ht="27" customHeight="1">
      <c r="A29" s="90">
        <v>10</v>
      </c>
      <c r="B29" s="92" t="s">
        <v>26</v>
      </c>
      <c r="C29" s="171">
        <v>40.06</v>
      </c>
      <c r="D29" s="200">
        <v>49.19</v>
      </c>
      <c r="E29" s="170">
        <f t="shared" si="0"/>
        <v>-0.18560683065663744</v>
      </c>
    </row>
    <row r="30" spans="1:11" ht="23.25">
      <c r="A30" s="90">
        <v>11</v>
      </c>
      <c r="B30" s="92" t="s">
        <v>96</v>
      </c>
      <c r="C30" s="171">
        <v>0</v>
      </c>
      <c r="D30" s="200">
        <v>0</v>
      </c>
      <c r="E30" s="170"/>
    </row>
    <row r="31" spans="1:11" ht="23.25">
      <c r="A31" s="90">
        <v>12</v>
      </c>
      <c r="B31" s="92" t="s">
        <v>230</v>
      </c>
      <c r="C31" s="171">
        <v>0</v>
      </c>
      <c r="D31" s="200">
        <v>0</v>
      </c>
      <c r="E31" s="170">
        <v>0</v>
      </c>
    </row>
    <row r="32" spans="1:11" ht="23.25">
      <c r="A32" s="90">
        <v>13</v>
      </c>
      <c r="B32" s="92" t="s">
        <v>97</v>
      </c>
      <c r="C32" s="171">
        <v>-27.2</v>
      </c>
      <c r="D32" s="200">
        <v>-39.130000000000003</v>
      </c>
      <c r="E32" s="170"/>
    </row>
    <row r="33" spans="1:13" ht="23.25">
      <c r="A33" s="90">
        <v>14</v>
      </c>
      <c r="B33" s="92" t="s">
        <v>231</v>
      </c>
      <c r="C33" s="22">
        <f>SUM(C19:C32)</f>
        <v>5651.58</v>
      </c>
      <c r="D33" s="22">
        <f>SUM(D19:D32)</f>
        <v>4780.1699999999992</v>
      </c>
      <c r="E33" s="170">
        <f t="shared" si="0"/>
        <v>0.18229686391906583</v>
      </c>
    </row>
    <row r="34" spans="1:13" ht="15" customHeight="1">
      <c r="A34" s="90"/>
      <c r="B34" s="92"/>
      <c r="C34" s="22"/>
      <c r="D34" s="22"/>
      <c r="E34" s="178" t="s">
        <v>232</v>
      </c>
    </row>
    <row r="35" spans="1:13" ht="20.25" customHeight="1">
      <c r="A35" s="90" t="s">
        <v>45</v>
      </c>
      <c r="B35" s="92" t="s">
        <v>98</v>
      </c>
      <c r="C35" s="171">
        <f>C15-C33</f>
        <v>56.050000000001091</v>
      </c>
      <c r="D35" s="200">
        <f>D15-D33</f>
        <v>70.190000000000509</v>
      </c>
      <c r="E35" s="170">
        <f>(C35-D35)/D35</f>
        <v>-0.20145319846130952</v>
      </c>
      <c r="F35" s="97"/>
      <c r="K35" s="133"/>
      <c r="L35" s="133"/>
      <c r="M35" s="134"/>
    </row>
    <row r="36" spans="1:13" ht="23.25">
      <c r="A36" s="90"/>
      <c r="B36" s="92"/>
      <c r="C36" s="20"/>
      <c r="D36" s="20"/>
      <c r="E36" s="138"/>
    </row>
    <row r="37" spans="1:13" ht="23.25" customHeight="1" thickBot="1">
      <c r="A37" s="377" t="s">
        <v>127</v>
      </c>
      <c r="B37" s="378"/>
      <c r="C37" s="378"/>
      <c r="D37" s="378"/>
      <c r="E37" s="379"/>
    </row>
    <row r="40" spans="1:13" ht="12.75" customHeight="1">
      <c r="A40" s="324"/>
      <c r="B40" s="324"/>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3"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B1:L32"/>
  <sheetViews>
    <sheetView view="pageBreakPreview" topLeftCell="A19" zoomScale="115" zoomScaleSheetLayoutView="115" workbookViewId="0">
      <selection activeCell="N16" sqref="N16"/>
    </sheetView>
  </sheetViews>
  <sheetFormatPr defaultRowHeight="12.75"/>
  <cols>
    <col min="1" max="1" width="1.5703125" style="249" customWidth="1"/>
    <col min="2" max="2" width="9.140625" style="249" customWidth="1"/>
    <col min="3" max="3" width="12.28515625" style="249" customWidth="1"/>
    <col min="4" max="4" width="9.140625" style="249" customWidth="1"/>
    <col min="5" max="5" width="14.7109375" style="249" customWidth="1"/>
    <col min="6" max="6" width="9.140625" style="249" customWidth="1"/>
    <col min="7" max="7" width="2" style="249" customWidth="1"/>
    <col min="8" max="8" width="9.140625" style="249"/>
    <col min="9" max="9" width="14.7109375" style="249" customWidth="1"/>
    <col min="10" max="10" width="9.140625" style="249"/>
    <col min="11" max="11" width="14.5703125" style="249" customWidth="1"/>
    <col min="12" max="12" width="16.42578125" style="249" customWidth="1"/>
    <col min="13" max="16384" width="9.140625" style="249"/>
  </cols>
  <sheetData>
    <row r="1" spans="2:12" ht="24.75" customHeight="1" thickBot="1">
      <c r="B1" s="380" t="s">
        <v>239</v>
      </c>
      <c r="C1" s="381"/>
      <c r="D1" s="381"/>
      <c r="E1" s="381"/>
      <c r="F1" s="381"/>
      <c r="G1" s="381"/>
      <c r="H1" s="381"/>
      <c r="I1" s="381"/>
      <c r="J1" s="381"/>
      <c r="K1" s="381"/>
      <c r="L1" s="382"/>
    </row>
    <row r="2" spans="2:12" ht="9" customHeight="1">
      <c r="B2" s="250"/>
      <c r="C2" s="250"/>
      <c r="D2" s="250"/>
      <c r="E2" s="250"/>
      <c r="F2" s="250"/>
      <c r="G2" s="250"/>
      <c r="H2" s="250"/>
      <c r="I2" s="250"/>
      <c r="J2" s="250"/>
      <c r="K2" s="250"/>
      <c r="L2" s="250"/>
    </row>
    <row r="3" spans="2:12" ht="21.75" customHeight="1" thickBot="1">
      <c r="B3" s="383" t="s">
        <v>240</v>
      </c>
      <c r="C3" s="384"/>
      <c r="D3" s="384"/>
      <c r="E3" s="384"/>
      <c r="F3" s="384"/>
      <c r="G3" s="384"/>
      <c r="H3" s="384"/>
      <c r="I3" s="384"/>
      <c r="J3" s="384"/>
      <c r="K3" s="384"/>
      <c r="L3" s="385"/>
    </row>
    <row r="4" spans="2:12" ht="27.75" customHeight="1">
      <c r="B4" s="386" t="s">
        <v>199</v>
      </c>
      <c r="C4" s="388" t="s">
        <v>241</v>
      </c>
      <c r="D4" s="388" t="s">
        <v>242</v>
      </c>
      <c r="E4" s="388"/>
      <c r="F4" s="388"/>
      <c r="G4" s="251"/>
      <c r="H4" s="388" t="s">
        <v>243</v>
      </c>
      <c r="I4" s="388"/>
      <c r="J4" s="388"/>
      <c r="K4" s="388" t="s">
        <v>244</v>
      </c>
      <c r="L4" s="390" t="s">
        <v>245</v>
      </c>
    </row>
    <row r="5" spans="2:12" ht="68.25" customHeight="1">
      <c r="B5" s="387"/>
      <c r="C5" s="389"/>
      <c r="D5" s="252" t="s">
        <v>246</v>
      </c>
      <c r="E5" s="252" t="s">
        <v>247</v>
      </c>
      <c r="F5" s="252" t="s">
        <v>248</v>
      </c>
      <c r="G5" s="253"/>
      <c r="H5" s="252" t="s">
        <v>246</v>
      </c>
      <c r="I5" s="252" t="s">
        <v>249</v>
      </c>
      <c r="J5" s="252" t="s">
        <v>248</v>
      </c>
      <c r="K5" s="389"/>
      <c r="L5" s="391"/>
    </row>
    <row r="6" spans="2:12" s="259" customFormat="1" ht="21" customHeight="1">
      <c r="B6" s="392" t="s">
        <v>250</v>
      </c>
      <c r="C6" s="254" t="s">
        <v>251</v>
      </c>
      <c r="D6" s="255">
        <v>33</v>
      </c>
      <c r="E6" s="256" t="s">
        <v>252</v>
      </c>
      <c r="F6" s="257">
        <v>2.5126013761389796</v>
      </c>
      <c r="G6" s="258"/>
      <c r="H6" s="255">
        <v>32</v>
      </c>
      <c r="I6" s="256">
        <v>3</v>
      </c>
      <c r="J6" s="257">
        <v>3.45</v>
      </c>
      <c r="K6" s="254">
        <v>1</v>
      </c>
      <c r="L6" s="395" t="s">
        <v>253</v>
      </c>
    </row>
    <row r="7" spans="2:12" s="259" customFormat="1" ht="21" customHeight="1">
      <c r="B7" s="393"/>
      <c r="C7" s="254" t="s">
        <v>254</v>
      </c>
      <c r="D7" s="255">
        <v>16</v>
      </c>
      <c r="E7" s="256">
        <v>0</v>
      </c>
      <c r="F7" s="257">
        <v>1.3348894577567039</v>
      </c>
      <c r="G7" s="258"/>
      <c r="H7" s="255">
        <v>16</v>
      </c>
      <c r="I7" s="256">
        <v>0</v>
      </c>
      <c r="J7" s="257">
        <v>0.78</v>
      </c>
      <c r="K7" s="254">
        <v>0</v>
      </c>
      <c r="L7" s="396"/>
    </row>
    <row r="8" spans="2:12" s="259" customFormat="1" ht="21" customHeight="1">
      <c r="B8" s="393"/>
      <c r="C8" s="254" t="s">
        <v>255</v>
      </c>
      <c r="D8" s="255">
        <v>17</v>
      </c>
      <c r="E8" s="256">
        <v>0</v>
      </c>
      <c r="F8" s="257">
        <v>1.9882164626509646</v>
      </c>
      <c r="G8" s="258"/>
      <c r="H8" s="255">
        <v>17</v>
      </c>
      <c r="I8" s="256">
        <v>2</v>
      </c>
      <c r="J8" s="257">
        <v>2.91</v>
      </c>
      <c r="K8" s="254">
        <v>0</v>
      </c>
      <c r="L8" s="396"/>
    </row>
    <row r="9" spans="2:12" s="259" customFormat="1" ht="21" customHeight="1">
      <c r="B9" s="393"/>
      <c r="C9" s="254" t="s">
        <v>256</v>
      </c>
      <c r="D9" s="255">
        <v>1</v>
      </c>
      <c r="E9" s="256">
        <v>0</v>
      </c>
      <c r="F9" s="257">
        <v>1.1507141287065432</v>
      </c>
      <c r="G9" s="258"/>
      <c r="H9" s="255">
        <v>1</v>
      </c>
      <c r="I9" s="256">
        <v>0</v>
      </c>
      <c r="J9" s="257">
        <v>1.94</v>
      </c>
      <c r="K9" s="254">
        <v>0</v>
      </c>
      <c r="L9" s="396"/>
    </row>
    <row r="10" spans="2:12" s="259" customFormat="1" ht="21" customHeight="1">
      <c r="B10" s="393"/>
      <c r="C10" s="254" t="s">
        <v>257</v>
      </c>
      <c r="D10" s="255">
        <v>17</v>
      </c>
      <c r="E10" s="256">
        <v>0</v>
      </c>
      <c r="F10" s="257">
        <v>1.224972512514126</v>
      </c>
      <c r="G10" s="258"/>
      <c r="H10" s="255">
        <v>16</v>
      </c>
      <c r="I10" s="256">
        <v>0</v>
      </c>
      <c r="J10" s="257">
        <v>-0.08</v>
      </c>
      <c r="K10" s="254">
        <v>0</v>
      </c>
      <c r="L10" s="396"/>
    </row>
    <row r="11" spans="2:12" s="259" customFormat="1" ht="21" customHeight="1">
      <c r="B11" s="393"/>
      <c r="C11" s="260" t="s">
        <v>258</v>
      </c>
      <c r="D11" s="261">
        <f>SUM(D6:D10)</f>
        <v>84</v>
      </c>
      <c r="E11" s="261">
        <v>3</v>
      </c>
      <c r="F11" s="262">
        <v>1.9771135683308212</v>
      </c>
      <c r="G11" s="263"/>
      <c r="H11" s="261">
        <v>82</v>
      </c>
      <c r="I11" s="261">
        <v>5</v>
      </c>
      <c r="J11" s="262">
        <v>2.17</v>
      </c>
      <c r="K11" s="264">
        <f>SUM(K6:K10)</f>
        <v>1</v>
      </c>
      <c r="L11" s="396"/>
    </row>
    <row r="12" spans="2:12" s="267" customFormat="1" ht="12.75" customHeight="1" thickBot="1">
      <c r="B12" s="394"/>
      <c r="C12" s="265"/>
      <c r="D12" s="398" t="s">
        <v>259</v>
      </c>
      <c r="E12" s="399"/>
      <c r="F12" s="400"/>
      <c r="G12" s="253"/>
      <c r="H12" s="398"/>
      <c r="I12" s="399"/>
      <c r="J12" s="400"/>
      <c r="K12" s="266"/>
      <c r="L12" s="397"/>
    </row>
    <row r="13" spans="2:12" s="259" customFormat="1" ht="27.75" customHeight="1">
      <c r="B13" s="386" t="s">
        <v>199</v>
      </c>
      <c r="C13" s="388" t="s">
        <v>241</v>
      </c>
      <c r="D13" s="388" t="str">
        <f>D4</f>
        <v>Q-III-Oct to Dec-21</v>
      </c>
      <c r="E13" s="388"/>
      <c r="F13" s="388"/>
      <c r="G13" s="251"/>
      <c r="H13" s="388" t="str">
        <f>H4</f>
        <v>Q-III-Oct to Dec-20</v>
      </c>
      <c r="I13" s="388"/>
      <c r="J13" s="388"/>
      <c r="K13" s="388" t="s">
        <v>260</v>
      </c>
      <c r="L13" s="390" t="s">
        <v>245</v>
      </c>
    </row>
    <row r="14" spans="2:12" ht="79.5" customHeight="1">
      <c r="B14" s="387"/>
      <c r="C14" s="389"/>
      <c r="D14" s="252" t="s">
        <v>246</v>
      </c>
      <c r="E14" s="252" t="s">
        <v>261</v>
      </c>
      <c r="F14" s="252" t="s">
        <v>248</v>
      </c>
      <c r="G14" s="253"/>
      <c r="H14" s="252" t="s">
        <v>246</v>
      </c>
      <c r="I14" s="252" t="s">
        <v>262</v>
      </c>
      <c r="J14" s="252" t="s">
        <v>248</v>
      </c>
      <c r="K14" s="389"/>
      <c r="L14" s="391"/>
    </row>
    <row r="15" spans="2:12" s="259" customFormat="1" ht="21" customHeight="1">
      <c r="B15" s="392" t="s">
        <v>263</v>
      </c>
      <c r="C15" s="254" t="s">
        <v>251</v>
      </c>
      <c r="D15" s="255">
        <v>19</v>
      </c>
      <c r="E15" s="256">
        <v>0</v>
      </c>
      <c r="F15" s="257">
        <v>4.7271865308391456</v>
      </c>
      <c r="G15" s="258"/>
      <c r="H15" s="255">
        <v>19</v>
      </c>
      <c r="I15" s="256">
        <v>0</v>
      </c>
      <c r="J15" s="257">
        <v>6.92</v>
      </c>
      <c r="K15" s="254">
        <v>0</v>
      </c>
      <c r="L15" s="395" t="s">
        <v>253</v>
      </c>
    </row>
    <row r="16" spans="2:12" s="259" customFormat="1" ht="21" customHeight="1">
      <c r="B16" s="393"/>
      <c r="C16" s="254" t="s">
        <v>254</v>
      </c>
      <c r="D16" s="255">
        <v>260</v>
      </c>
      <c r="E16" s="256">
        <v>0</v>
      </c>
      <c r="F16" s="257">
        <v>3.4180243095641059</v>
      </c>
      <c r="G16" s="258"/>
      <c r="H16" s="255">
        <v>255</v>
      </c>
      <c r="I16" s="256">
        <v>0</v>
      </c>
      <c r="J16" s="257">
        <v>5.19</v>
      </c>
      <c r="K16" s="254">
        <v>0</v>
      </c>
      <c r="L16" s="396"/>
    </row>
    <row r="17" spans="2:12" s="259" customFormat="1" ht="21" customHeight="1">
      <c r="B17" s="393"/>
      <c r="C17" s="254" t="s">
        <v>255</v>
      </c>
      <c r="D17" s="255">
        <v>47</v>
      </c>
      <c r="E17" s="256">
        <v>0</v>
      </c>
      <c r="F17" s="257">
        <v>4.8731674668247429</v>
      </c>
      <c r="G17" s="258"/>
      <c r="H17" s="255">
        <v>46</v>
      </c>
      <c r="I17" s="256">
        <v>0</v>
      </c>
      <c r="J17" s="257">
        <v>6.66</v>
      </c>
      <c r="K17" s="254">
        <v>0</v>
      </c>
      <c r="L17" s="396"/>
    </row>
    <row r="18" spans="2:12" s="259" customFormat="1" ht="21" customHeight="1">
      <c r="B18" s="393"/>
      <c r="C18" s="254" t="s">
        <v>256</v>
      </c>
      <c r="D18" s="255">
        <v>39</v>
      </c>
      <c r="E18" s="256">
        <v>0</v>
      </c>
      <c r="F18" s="257">
        <v>6.6899269177497249</v>
      </c>
      <c r="G18" s="258"/>
      <c r="H18" s="255">
        <v>36</v>
      </c>
      <c r="I18" s="256">
        <v>0</v>
      </c>
      <c r="J18" s="257">
        <v>8.24</v>
      </c>
      <c r="K18" s="254">
        <v>0</v>
      </c>
      <c r="L18" s="396"/>
    </row>
    <row r="19" spans="2:12" s="259" customFormat="1" ht="21" customHeight="1">
      <c r="B19" s="393"/>
      <c r="C19" s="254" t="s">
        <v>257</v>
      </c>
      <c r="D19" s="255">
        <v>46</v>
      </c>
      <c r="E19" s="256">
        <v>6</v>
      </c>
      <c r="F19" s="257">
        <v>15.119514232801176</v>
      </c>
      <c r="G19" s="258"/>
      <c r="H19" s="255">
        <v>46</v>
      </c>
      <c r="I19" s="256">
        <v>8</v>
      </c>
      <c r="J19" s="257">
        <v>19.89</v>
      </c>
      <c r="K19" s="254">
        <v>0</v>
      </c>
      <c r="L19" s="396"/>
    </row>
    <row r="20" spans="2:12" s="259" customFormat="1" ht="21" customHeight="1">
      <c r="B20" s="393"/>
      <c r="C20" s="268" t="s">
        <v>258</v>
      </c>
      <c r="D20" s="261">
        <f>SUM(D15:D19)</f>
        <v>411</v>
      </c>
      <c r="E20" s="261">
        <f>SUM(E15:E19)</f>
        <v>6</v>
      </c>
      <c r="F20" s="269">
        <v>5.5532540984598207</v>
      </c>
      <c r="G20" s="263"/>
      <c r="H20" s="270">
        <v>402</v>
      </c>
      <c r="I20" s="270">
        <v>8</v>
      </c>
      <c r="J20" s="269">
        <v>7.72</v>
      </c>
      <c r="K20" s="252">
        <f>SUM(K15:K19)</f>
        <v>0</v>
      </c>
      <c r="L20" s="396"/>
    </row>
    <row r="21" spans="2:12" s="267" customFormat="1" ht="14.25" customHeight="1" thickBot="1">
      <c r="B21" s="394"/>
      <c r="C21" s="271"/>
      <c r="D21" s="398"/>
      <c r="E21" s="399"/>
      <c r="F21" s="400"/>
      <c r="G21" s="272"/>
      <c r="H21" s="398"/>
      <c r="I21" s="399"/>
      <c r="J21" s="400"/>
      <c r="K21" s="266"/>
      <c r="L21" s="397"/>
    </row>
    <row r="22" spans="2:12" s="259" customFormat="1" ht="27.75" customHeight="1">
      <c r="B22" s="386" t="s">
        <v>199</v>
      </c>
      <c r="C22" s="388" t="s">
        <v>241</v>
      </c>
      <c r="D22" s="388" t="str">
        <f>D13</f>
        <v>Q-III-Oct to Dec-21</v>
      </c>
      <c r="E22" s="388"/>
      <c r="F22" s="388"/>
      <c r="G22" s="251"/>
      <c r="H22" s="388" t="str">
        <f>H13</f>
        <v>Q-III-Oct to Dec-20</v>
      </c>
      <c r="I22" s="388"/>
      <c r="J22" s="388"/>
      <c r="K22" s="388" t="s">
        <v>264</v>
      </c>
      <c r="L22" s="390" t="s">
        <v>245</v>
      </c>
    </row>
    <row r="23" spans="2:12" ht="79.5" customHeight="1">
      <c r="B23" s="387"/>
      <c r="C23" s="389"/>
      <c r="D23" s="252" t="s">
        <v>246</v>
      </c>
      <c r="E23" s="252" t="s">
        <v>265</v>
      </c>
      <c r="F23" s="252" t="s">
        <v>248</v>
      </c>
      <c r="G23" s="253"/>
      <c r="H23" s="252" t="s">
        <v>246</v>
      </c>
      <c r="I23" s="252" t="s">
        <v>265</v>
      </c>
      <c r="J23" s="252" t="s">
        <v>248</v>
      </c>
      <c r="K23" s="389"/>
      <c r="L23" s="391"/>
    </row>
    <row r="24" spans="2:12" s="259" customFormat="1" ht="21" customHeight="1">
      <c r="B24" s="387" t="s">
        <v>266</v>
      </c>
      <c r="C24" s="254" t="s">
        <v>251</v>
      </c>
      <c r="D24" s="255">
        <v>57</v>
      </c>
      <c r="E24" s="256">
        <v>0</v>
      </c>
      <c r="F24" s="257">
        <v>2.6068108521648163</v>
      </c>
      <c r="G24" s="258"/>
      <c r="H24" s="255">
        <v>54</v>
      </c>
      <c r="I24" s="256">
        <v>0</v>
      </c>
      <c r="J24" s="257">
        <v>3.93</v>
      </c>
      <c r="K24" s="254">
        <v>0</v>
      </c>
      <c r="L24" s="395" t="s">
        <v>253</v>
      </c>
    </row>
    <row r="25" spans="2:12" s="259" customFormat="1" ht="21" customHeight="1">
      <c r="B25" s="387"/>
      <c r="C25" s="254" t="s">
        <v>254</v>
      </c>
      <c r="D25" s="255">
        <v>3</v>
      </c>
      <c r="E25" s="256">
        <v>0</v>
      </c>
      <c r="F25" s="257">
        <v>0.32861550359609837</v>
      </c>
      <c r="G25" s="258"/>
      <c r="H25" s="255">
        <v>3</v>
      </c>
      <c r="I25" s="256">
        <v>0</v>
      </c>
      <c r="J25" s="257">
        <v>0.45</v>
      </c>
      <c r="K25" s="254">
        <v>0</v>
      </c>
      <c r="L25" s="396"/>
    </row>
    <row r="26" spans="2:12" s="259" customFormat="1" ht="21" customHeight="1">
      <c r="B26" s="387"/>
      <c r="C26" s="254" t="s">
        <v>255</v>
      </c>
      <c r="D26" s="255">
        <v>5</v>
      </c>
      <c r="E26" s="256">
        <v>0</v>
      </c>
      <c r="F26" s="257">
        <v>1.2863788859196719</v>
      </c>
      <c r="G26" s="258"/>
      <c r="H26" s="255">
        <v>5</v>
      </c>
      <c r="I26" s="256">
        <v>0</v>
      </c>
      <c r="J26" s="257">
        <v>2.2599999999999998</v>
      </c>
      <c r="K26" s="254">
        <v>0</v>
      </c>
      <c r="L26" s="396"/>
    </row>
    <row r="27" spans="2:12" s="259" customFormat="1" ht="21" customHeight="1">
      <c r="B27" s="387"/>
      <c r="C27" s="254" t="s">
        <v>256</v>
      </c>
      <c r="D27" s="255">
        <v>12</v>
      </c>
      <c r="E27" s="256">
        <v>0</v>
      </c>
      <c r="F27" s="257">
        <v>2.0868740539770707</v>
      </c>
      <c r="G27" s="258"/>
      <c r="H27" s="255">
        <v>12</v>
      </c>
      <c r="I27" s="256">
        <v>0</v>
      </c>
      <c r="J27" s="257">
        <v>5</v>
      </c>
      <c r="K27" s="254">
        <v>0</v>
      </c>
      <c r="L27" s="396"/>
    </row>
    <row r="28" spans="2:12" s="259" customFormat="1" ht="21" customHeight="1">
      <c r="B28" s="387"/>
      <c r="C28" s="254" t="s">
        <v>257</v>
      </c>
      <c r="D28" s="256">
        <v>41</v>
      </c>
      <c r="E28" s="256">
        <v>0</v>
      </c>
      <c r="F28" s="257">
        <v>1.1215561941907346</v>
      </c>
      <c r="G28" s="263"/>
      <c r="H28" s="256">
        <v>39</v>
      </c>
      <c r="I28" s="256">
        <v>0</v>
      </c>
      <c r="J28" s="257">
        <v>-2.12</v>
      </c>
      <c r="K28" s="254">
        <v>0</v>
      </c>
      <c r="L28" s="396"/>
    </row>
    <row r="29" spans="2:12" s="259" customFormat="1" ht="21" customHeight="1">
      <c r="B29" s="387"/>
      <c r="C29" s="268" t="s">
        <v>258</v>
      </c>
      <c r="D29" s="261">
        <f>SUM(D24:D28)</f>
        <v>118</v>
      </c>
      <c r="E29" s="270">
        <f>SUM(E24:E28)</f>
        <v>0</v>
      </c>
      <c r="F29" s="269">
        <v>2.0779212211797469</v>
      </c>
      <c r="G29" s="273"/>
      <c r="H29" s="270">
        <v>113</v>
      </c>
      <c r="I29" s="270">
        <v>0</v>
      </c>
      <c r="J29" s="269">
        <v>2.06</v>
      </c>
      <c r="K29" s="252">
        <f>SUM(K24:K28)</f>
        <v>0</v>
      </c>
      <c r="L29" s="396"/>
    </row>
    <row r="30" spans="2:12" s="267" customFormat="1" ht="8.25" customHeight="1" thickBot="1">
      <c r="B30" s="401"/>
      <c r="C30" s="274"/>
      <c r="D30" s="398"/>
      <c r="E30" s="399"/>
      <c r="F30" s="400"/>
      <c r="G30" s="272"/>
      <c r="H30" s="398"/>
      <c r="I30" s="399"/>
      <c r="J30" s="400"/>
      <c r="K30" s="266"/>
      <c r="L30" s="397"/>
    </row>
    <row r="31" spans="2:12" ht="62.25" customHeight="1">
      <c r="B31" s="275"/>
      <c r="C31" s="276"/>
      <c r="D31" s="276"/>
      <c r="E31" s="276"/>
      <c r="F31" s="276"/>
      <c r="G31" s="276"/>
      <c r="H31" s="276"/>
      <c r="I31" s="276"/>
      <c r="J31" s="276"/>
      <c r="K31" s="276"/>
      <c r="L31" s="276"/>
    </row>
    <row r="32" spans="2:12" ht="86.25" customHeight="1"/>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dimension ref="B1:S14"/>
  <sheetViews>
    <sheetView tabSelected="1" topLeftCell="A7" zoomScaleSheetLayoutView="115" workbookViewId="0">
      <selection activeCell="K6" sqref="K6"/>
    </sheetView>
  </sheetViews>
  <sheetFormatPr defaultRowHeight="12.75"/>
  <cols>
    <col min="1" max="1" width="1.85546875" style="277" customWidth="1"/>
    <col min="2" max="2" width="4.7109375" style="277" customWidth="1"/>
    <col min="3" max="3" width="25.85546875" style="307" customWidth="1"/>
    <col min="4" max="4" width="5" style="277" customWidth="1"/>
    <col min="5" max="5" width="15.28515625" style="277" customWidth="1"/>
    <col min="6" max="6" width="19" style="277" customWidth="1"/>
    <col min="7" max="7" width="15.28515625" style="277" customWidth="1"/>
    <col min="8" max="8" width="15.85546875" style="277" customWidth="1"/>
    <col min="9" max="9" width="18.5703125" style="277" customWidth="1"/>
    <col min="10" max="12" width="12.5703125" style="277" customWidth="1"/>
    <col min="13" max="13" width="13.28515625" style="277" customWidth="1"/>
    <col min="14" max="17" width="12.5703125" style="277" customWidth="1"/>
    <col min="18" max="18" width="2.7109375" style="277" customWidth="1"/>
    <col min="19" max="22" width="12.5703125" style="277" customWidth="1"/>
    <col min="23" max="16384" width="9.140625" style="277"/>
  </cols>
  <sheetData>
    <row r="1" spans="2:19" ht="39" customHeight="1">
      <c r="B1" s="413" t="s">
        <v>267</v>
      </c>
      <c r="C1" s="413"/>
      <c r="D1" s="413"/>
      <c r="E1" s="413"/>
      <c r="F1" s="413"/>
      <c r="G1" s="413"/>
      <c r="H1" s="413"/>
      <c r="I1" s="413"/>
    </row>
    <row r="2" spans="2:19" ht="30.75" customHeight="1">
      <c r="B2" s="278" t="s">
        <v>268</v>
      </c>
      <c r="C2" s="279"/>
      <c r="D2" s="279"/>
      <c r="E2" s="279"/>
      <c r="F2" s="279"/>
      <c r="H2" s="279"/>
      <c r="I2" s="280" t="s">
        <v>269</v>
      </c>
    </row>
    <row r="3" spans="2:19" ht="33" customHeight="1" thickBot="1">
      <c r="B3" s="414" t="s">
        <v>270</v>
      </c>
      <c r="C3" s="414"/>
      <c r="D3" s="414"/>
      <c r="E3" s="414"/>
      <c r="F3" s="414"/>
      <c r="G3" s="414"/>
      <c r="H3" s="414"/>
      <c r="I3" s="414"/>
    </row>
    <row r="4" spans="2:19" ht="48.75" customHeight="1">
      <c r="B4" s="405" t="s">
        <v>271</v>
      </c>
      <c r="C4" s="408" t="s">
        <v>272</v>
      </c>
      <c r="D4" s="409"/>
      <c r="E4" s="281" t="s">
        <v>273</v>
      </c>
      <c r="F4" s="415" t="s">
        <v>274</v>
      </c>
      <c r="G4" s="415"/>
      <c r="H4" s="415" t="s">
        <v>275</v>
      </c>
      <c r="I4" s="416"/>
      <c r="L4" s="282"/>
    </row>
    <row r="5" spans="2:19" ht="25.5" customHeight="1">
      <c r="B5" s="406"/>
      <c r="C5" s="283" t="s">
        <v>276</v>
      </c>
      <c r="D5" s="284" t="s">
        <v>277</v>
      </c>
      <c r="E5" s="285"/>
      <c r="F5" s="417">
        <v>72370</v>
      </c>
      <c r="G5" s="417"/>
      <c r="H5" s="418">
        <v>185044</v>
      </c>
      <c r="I5" s="419"/>
      <c r="K5" s="286"/>
      <c r="L5" s="287"/>
      <c r="M5" s="287"/>
    </row>
    <row r="6" spans="2:19" ht="25.5" customHeight="1">
      <c r="B6" s="406"/>
      <c r="C6" s="283" t="s">
        <v>278</v>
      </c>
      <c r="D6" s="284" t="s">
        <v>277</v>
      </c>
      <c r="E6" s="285"/>
      <c r="F6" s="417">
        <v>13888</v>
      </c>
      <c r="G6" s="417"/>
      <c r="H6" s="418">
        <v>23155</v>
      </c>
      <c r="I6" s="419"/>
      <c r="K6" s="286"/>
      <c r="L6" s="287"/>
      <c r="M6" s="287"/>
    </row>
    <row r="7" spans="2:19" ht="25.5" customHeight="1" thickBot="1">
      <c r="B7" s="407"/>
      <c r="C7" s="288" t="s">
        <v>258</v>
      </c>
      <c r="D7" s="289" t="s">
        <v>277</v>
      </c>
      <c r="E7" s="290"/>
      <c r="F7" s="402">
        <f>SUM(F5:F6)</f>
        <v>86258</v>
      </c>
      <c r="G7" s="402"/>
      <c r="H7" s="403">
        <f>SUM(H5:H6)</f>
        <v>208199</v>
      </c>
      <c r="I7" s="404"/>
      <c r="K7" s="291"/>
    </row>
    <row r="8" spans="2:19" s="293" customFormat="1" ht="48.75" customHeight="1">
      <c r="B8" s="405" t="s">
        <v>279</v>
      </c>
      <c r="C8" s="408" t="s">
        <v>280</v>
      </c>
      <c r="D8" s="409"/>
      <c r="E8" s="281" t="s">
        <v>281</v>
      </c>
      <c r="F8" s="281" t="s">
        <v>282</v>
      </c>
      <c r="G8" s="281" t="s">
        <v>283</v>
      </c>
      <c r="H8" s="281" t="s">
        <v>284</v>
      </c>
      <c r="I8" s="292" t="s">
        <v>285</v>
      </c>
      <c r="K8" s="294"/>
      <c r="L8" s="295"/>
      <c r="M8" s="295"/>
    </row>
    <row r="9" spans="2:19" ht="25.5" customHeight="1">
      <c r="B9" s="406"/>
      <c r="C9" s="283" t="s">
        <v>276</v>
      </c>
      <c r="D9" s="284" t="s">
        <v>277</v>
      </c>
      <c r="E9" s="296">
        <v>20305</v>
      </c>
      <c r="F9" s="297">
        <v>11036</v>
      </c>
      <c r="G9" s="296">
        <f>F9+E9</f>
        <v>31341</v>
      </c>
      <c r="H9" s="297">
        <v>15627</v>
      </c>
      <c r="I9" s="298">
        <f>G9-H9</f>
        <v>15714</v>
      </c>
      <c r="K9" s="299"/>
      <c r="L9" s="299"/>
    </row>
    <row r="10" spans="2:19" ht="25.5" customHeight="1">
      <c r="B10" s="406"/>
      <c r="C10" s="283" t="s">
        <v>278</v>
      </c>
      <c r="D10" s="284" t="s">
        <v>277</v>
      </c>
      <c r="E10" s="296">
        <v>1921</v>
      </c>
      <c r="F10" s="297">
        <v>1403</v>
      </c>
      <c r="G10" s="296">
        <f>F10+E10</f>
        <v>3324</v>
      </c>
      <c r="H10" s="297">
        <v>2034</v>
      </c>
      <c r="I10" s="298">
        <f>G10-H10</f>
        <v>1290</v>
      </c>
      <c r="K10" s="299"/>
      <c r="L10" s="299"/>
    </row>
    <row r="11" spans="2:19" ht="25.5" customHeight="1" thickBot="1">
      <c r="B11" s="407"/>
      <c r="C11" s="288" t="s">
        <v>258</v>
      </c>
      <c r="D11" s="289" t="s">
        <v>277</v>
      </c>
      <c r="E11" s="300">
        <f>E9+E10</f>
        <v>22226</v>
      </c>
      <c r="F11" s="300">
        <f>F9+F10</f>
        <v>12439</v>
      </c>
      <c r="G11" s="300">
        <f t="shared" ref="G11:I11" si="0">SUM(G9:G10)</f>
        <v>34665</v>
      </c>
      <c r="H11" s="300">
        <f t="shared" si="0"/>
        <v>17661</v>
      </c>
      <c r="I11" s="301">
        <f t="shared" si="0"/>
        <v>17004</v>
      </c>
      <c r="K11" s="299"/>
      <c r="L11" s="299"/>
    </row>
    <row r="12" spans="2:19" s="302" customFormat="1" ht="50.25" customHeight="1" thickBot="1">
      <c r="B12" s="410" t="s">
        <v>286</v>
      </c>
      <c r="C12" s="411"/>
      <c r="D12" s="411"/>
      <c r="E12" s="411"/>
      <c r="F12" s="411"/>
      <c r="G12" s="411"/>
      <c r="H12" s="411"/>
      <c r="I12" s="412"/>
    </row>
    <row r="13" spans="2:19" s="302" customFormat="1" ht="30" customHeight="1">
      <c r="B13" s="303"/>
      <c r="C13" s="303"/>
      <c r="D13" s="303"/>
      <c r="E13" s="303"/>
      <c r="F13" s="303"/>
      <c r="G13" s="303"/>
      <c r="H13" s="303"/>
      <c r="I13" s="303"/>
    </row>
    <row r="14" spans="2:19" s="293" customFormat="1" ht="24.75" customHeight="1">
      <c r="E14" s="304"/>
      <c r="I14" s="305"/>
      <c r="N14" s="306"/>
      <c r="S14" s="306"/>
    </row>
  </sheetData>
  <mergeCells count="15">
    <mergeCell ref="B1:I1"/>
    <mergeCell ref="B3:I3"/>
    <mergeCell ref="B4:B7"/>
    <mergeCell ref="C4:D4"/>
    <mergeCell ref="F4:G4"/>
    <mergeCell ref="H4:I4"/>
    <mergeCell ref="F5:G5"/>
    <mergeCell ref="H5:I5"/>
    <mergeCell ref="F6:G6"/>
    <mergeCell ref="H6:I6"/>
    <mergeCell ref="F7:G7"/>
    <mergeCell ref="H7:I7"/>
    <mergeCell ref="B8:B11"/>
    <mergeCell ref="C8:D8"/>
    <mergeCell ref="B12:I12"/>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LAB</vt:lpstr>
      <vt:lpstr>Sheet1</vt:lpstr>
      <vt:lpstr>LAB!Print_Area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2022-04-19T06:10:00Z</cp:lastPrinted>
  <dcterms:created xsi:type="dcterms:W3CDTF">1996-10-14T23:33:28Z</dcterms:created>
  <dcterms:modified xsi:type="dcterms:W3CDTF">2022-04-25T05:07:16Z</dcterms:modified>
</cp:coreProperties>
</file>