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20490" windowHeight="7455" activeTab="8"/>
  </bookViews>
  <sheets>
    <sheet name="SHEET-1" sheetId="24" r:id="rId1"/>
    <sheet name="SHEET-2" sheetId="25" r:id="rId2"/>
    <sheet name="SHEET-3" sheetId="26" r:id="rId3"/>
    <sheet name="SHEET-4" sheetId="32" r:id="rId4"/>
    <sheet name="SHEET-5" sheetId="33" r:id="rId5"/>
    <sheet name="SHEET-6" sheetId="30" r:id="rId6"/>
    <sheet name="SHEET-7" sheetId="31" r:id="rId7"/>
    <sheet name="T&amp;D" sheetId="35" r:id="rId8"/>
    <sheet name="LAB" sheetId="36" r:id="rId9"/>
    <sheet name="Sheet1" sheetId="34" state="hidden" r:id="rId10"/>
  </sheets>
  <externalReferences>
    <externalReference r:id="rId11"/>
    <externalReference r:id="rId12"/>
    <externalReference r:id="rId13"/>
  </externalReferences>
  <definedNames>
    <definedName name="_131" hidden="1">[1]zpF0001!$O$149:$O$158</definedName>
    <definedName name="_132" hidden="1">[1]zpF0001!$A$39:$CB$78</definedName>
    <definedName name="_brh1" hidden="1">{"'Sheet1'!$A$4386:$N$4591"}</definedName>
    <definedName name="_Dist_Bin" hidden="1">#REF!</definedName>
    <definedName name="_Dist_Values" hidden="1">#REF!</definedName>
    <definedName name="_Key1" hidden="1">[1]zpF0001!$E$39:$E$78</definedName>
    <definedName name="_Key2" hidden="1">[1]zpF0001!$O$149:$O$158</definedName>
    <definedName name="_Order1" hidden="1">255</definedName>
    <definedName name="_Order2" hidden="1">255</definedName>
    <definedName name="_Sort" hidden="1">[1]zpF0001!$A$39:$CB$78</definedName>
    <definedName name="aaaa" hidden="1">#REF!</definedName>
    <definedName name="ann" hidden="1">{"'Sheet1'!$A$4386:$N$4591"}</definedName>
    <definedName name="AprilMay" hidden="1">{"'Sheet1'!$A$4386:$N$4591"}</definedName>
    <definedName name="brh" hidden="1">{"'Sheet1'!$A$4386:$N$4591"}</definedName>
    <definedName name="dfd" hidden="1">{"'Sheet1'!$A$4386:$N$4591"}</definedName>
    <definedName name="DID" hidden="1">{"'Sheet1'!$A$4386:$N$4591"}</definedName>
    <definedName name="DIS" hidden="1">{"'Sheet1'!$A$4386:$N$4591"}</definedName>
    <definedName name="gdl" hidden="1">{"'Sheet1'!$A$4386:$N$4591"}</definedName>
    <definedName name="HT" hidden="1">{"'Sheet1'!$A$4386:$N$4591"}</definedName>
    <definedName name="HTML_CodePage" hidden="1">1252</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jj" hidden="1">{"'Sheet1'!$A$4386:$N$4591"}</definedName>
    <definedName name="Meh" hidden="1">{"'Sheet1'!$A$4386:$N$4591"}</definedName>
    <definedName name="MISPP" hidden="1">{"'Sheet1'!$A$4386:$N$4591"}</definedName>
    <definedName name="MMB" hidden="1">'[2]mpmla wise pp0001'!$A$166:$A$172</definedName>
    <definedName name="po" hidden="1">[3]zpF0001!$E$39:$E$78</definedName>
    <definedName name="_xlnm.Print_Area" localSheetId="8">LAB!$B$1:$I$12</definedName>
    <definedName name="_xlnm.Print_Area" localSheetId="0">'SHEET-1'!$A$1:$I$44</definedName>
    <definedName name="_xlnm.Print_Area" localSheetId="2">'SHEET-3'!$A$1:$I$42</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 localSheetId="7">'T&amp;D'!$B$1:$L$30</definedName>
    <definedName name="uyuy" hidden="1">#REF!</definedName>
  </definedNames>
  <calcPr calcId="124519"/>
</workbook>
</file>

<file path=xl/calcChain.xml><?xml version="1.0" encoding="utf-8"?>
<calcChain xmlns="http://schemas.openxmlformats.org/spreadsheetml/2006/main">
  <c r="H11" i="36"/>
  <c r="F11"/>
  <c r="E11"/>
  <c r="G10"/>
  <c r="I10" s="1"/>
  <c r="G9"/>
  <c r="I9" s="1"/>
  <c r="I11" s="1"/>
  <c r="H7"/>
  <c r="F7"/>
  <c r="G11" l="1"/>
  <c r="K29" i="35" l="1"/>
  <c r="E29"/>
  <c r="D29"/>
  <c r="K20"/>
  <c r="E20"/>
  <c r="D20"/>
  <c r="H13"/>
  <c r="H22" s="1"/>
  <c r="D13"/>
  <c r="D22" s="1"/>
  <c r="K11"/>
  <c r="E11"/>
  <c r="D11"/>
  <c r="F28" i="26" l="1"/>
  <c r="D11" i="31"/>
  <c r="D14"/>
  <c r="D12"/>
  <c r="F16" i="26"/>
  <c r="D19" i="31"/>
  <c r="D29"/>
  <c r="D23"/>
  <c r="F19" i="26"/>
  <c r="F18"/>
  <c r="C19" i="31"/>
  <c r="F22" i="26"/>
  <c r="D22"/>
  <c r="D26" i="31" l="1"/>
  <c r="D24"/>
  <c r="H19" i="32"/>
  <c r="I19"/>
  <c r="D35" i="24"/>
  <c r="F27"/>
  <c r="E32" i="30"/>
  <c r="D32"/>
  <c r="E17"/>
  <c r="D17"/>
  <c r="D23" i="32"/>
  <c r="E23" s="1"/>
  <c r="D22"/>
  <c r="D24" s="1"/>
  <c r="D25" s="1"/>
  <c r="E21"/>
  <c r="E19"/>
  <c r="E18"/>
  <c r="E22" s="1"/>
  <c r="E24" s="1"/>
  <c r="D17"/>
  <c r="E14"/>
  <c r="E17" s="1"/>
  <c r="E25" l="1"/>
  <c r="E32" i="24" l="1"/>
  <c r="C11" i="31" l="1"/>
  <c r="D23" i="33"/>
  <c r="D21"/>
  <c r="D19"/>
  <c r="D18"/>
  <c r="D14"/>
  <c r="D38" i="32"/>
  <c r="D36"/>
  <c r="D34"/>
  <c r="D33"/>
  <c r="D29"/>
  <c r="D32" i="26"/>
  <c r="D15"/>
  <c r="D27" i="24"/>
  <c r="D17"/>
  <c r="G32" l="1"/>
  <c r="G34" s="1"/>
  <c r="G32" i="30"/>
  <c r="F32"/>
  <c r="G17"/>
  <c r="F17"/>
  <c r="G24" i="33"/>
  <c r="F23"/>
  <c r="G22"/>
  <c r="F22"/>
  <c r="F24" s="1"/>
  <c r="F21"/>
  <c r="F19"/>
  <c r="F18"/>
  <c r="G17"/>
  <c r="G25" s="1"/>
  <c r="F14"/>
  <c r="F17" s="1"/>
  <c r="G40" i="32"/>
  <c r="G39"/>
  <c r="F38"/>
  <c r="G37"/>
  <c r="F36"/>
  <c r="F34"/>
  <c r="F37" s="1"/>
  <c r="F39" s="1"/>
  <c r="F33"/>
  <c r="G32"/>
  <c r="F32"/>
  <c r="F29"/>
  <c r="F24"/>
  <c r="F25" s="1"/>
  <c r="G23"/>
  <c r="F22"/>
  <c r="G21"/>
  <c r="G19"/>
  <c r="G18"/>
  <c r="G22" s="1"/>
  <c r="G24" s="1"/>
  <c r="F17"/>
  <c r="G14"/>
  <c r="G17" s="1"/>
  <c r="G34" i="26"/>
  <c r="G33"/>
  <c r="F32"/>
  <c r="F27"/>
  <c r="F21"/>
  <c r="F20"/>
  <c r="F15"/>
  <c r="F25" i="24"/>
  <c r="F17"/>
  <c r="D33" i="31"/>
  <c r="D13"/>
  <c r="D15"/>
  <c r="D35" l="1"/>
  <c r="F32" i="24"/>
  <c r="F34" s="1"/>
  <c r="F25" i="33"/>
  <c r="F40" i="32"/>
  <c r="G25"/>
  <c r="K21" i="33" l="1"/>
  <c r="J21"/>
  <c r="E26" i="31" l="1"/>
  <c r="G26" i="26"/>
  <c r="F26" s="1"/>
  <c r="E37" i="24"/>
  <c r="G25" i="26" l="1"/>
  <c r="F25" s="1"/>
  <c r="G16"/>
  <c r="G17"/>
  <c r="F17" s="1"/>
  <c r="G18"/>
  <c r="G19"/>
  <c r="G20"/>
  <c r="G21"/>
  <c r="G22"/>
  <c r="G27"/>
  <c r="G28"/>
  <c r="F29" s="1"/>
  <c r="F30" i="32"/>
  <c r="G37" i="24"/>
  <c r="F37"/>
  <c r="G23" i="26" l="1"/>
  <c r="G30" s="1"/>
  <c r="G29"/>
  <c r="F23"/>
  <c r="F30" s="1"/>
  <c r="F38" i="33" l="1"/>
  <c r="F29"/>
  <c r="E25" i="26" l="1"/>
  <c r="D25" s="1"/>
  <c r="H25" l="1"/>
  <c r="I25"/>
  <c r="G53" i="30" l="1"/>
  <c r="G51"/>
  <c r="G49"/>
  <c r="G48"/>
  <c r="G44"/>
  <c r="D53"/>
  <c r="D51"/>
  <c r="D49"/>
  <c r="D48"/>
  <c r="E49"/>
  <c r="E48"/>
  <c r="E53"/>
  <c r="E51"/>
  <c r="G38" i="33" l="1"/>
  <c r="G36"/>
  <c r="G34"/>
  <c r="G33"/>
  <c r="E16" i="26"/>
  <c r="D16" s="1"/>
  <c r="E28" l="1"/>
  <c r="D28" s="1"/>
  <c r="E27"/>
  <c r="D27" s="1"/>
  <c r="E26"/>
  <c r="D26" s="1"/>
  <c r="E22"/>
  <c r="E21"/>
  <c r="D21" s="1"/>
  <c r="E20"/>
  <c r="D20" s="1"/>
  <c r="E19"/>
  <c r="D19" s="1"/>
  <c r="E18"/>
  <c r="D18" s="1"/>
  <c r="E17"/>
  <c r="D17" s="1"/>
  <c r="E22" i="33"/>
  <c r="E24" s="1"/>
  <c r="D29" i="26" l="1"/>
  <c r="E29"/>
  <c r="H22"/>
  <c r="I22"/>
  <c r="G29" i="33"/>
  <c r="G31"/>
  <c r="F33"/>
  <c r="F34"/>
  <c r="F36"/>
  <c r="G22" i="24"/>
  <c r="G25" s="1"/>
  <c r="F22"/>
  <c r="G26" l="1"/>
  <c r="G28" s="1"/>
  <c r="G29" s="1"/>
  <c r="F26"/>
  <c r="F28" s="1"/>
  <c r="F29" s="1"/>
  <c r="G54" i="30"/>
  <c r="G52"/>
  <c r="G39" i="33"/>
  <c r="G37"/>
  <c r="F32"/>
  <c r="G47" i="30"/>
  <c r="F37" i="33" l="1"/>
  <c r="F39"/>
  <c r="G55" i="30"/>
  <c r="G32" i="33"/>
  <c r="F38" i="24" l="1"/>
  <c r="G38"/>
  <c r="G40" i="33"/>
  <c r="D25" i="24" l="1"/>
  <c r="H29" i="26" l="1"/>
  <c r="I29"/>
  <c r="D26" i="24"/>
  <c r="F14" i="25"/>
  <c r="F14" i="26" s="1"/>
  <c r="F13" i="32" s="1"/>
  <c r="F13" i="33" s="1"/>
  <c r="F13" i="30" s="1"/>
  <c r="D14" i="25"/>
  <c r="D14" i="26" s="1"/>
  <c r="D13" i="32" s="1"/>
  <c r="D13" i="33" s="1"/>
  <c r="D13" i="30" s="1"/>
  <c r="F21" i="25" l="1"/>
  <c r="G21"/>
  <c r="G16"/>
  <c r="F16"/>
  <c r="E34" i="26" l="1"/>
  <c r="E33"/>
  <c r="E30" i="32" l="1"/>
  <c r="D37" i="24"/>
  <c r="D28"/>
  <c r="D29" s="1"/>
  <c r="E22"/>
  <c r="D22"/>
  <c r="D16" i="25" s="1"/>
  <c r="H15" i="32"/>
  <c r="E16" i="25" l="1"/>
  <c r="E25" i="24"/>
  <c r="E26" s="1"/>
  <c r="E28" s="1"/>
  <c r="E29" s="1"/>
  <c r="D23" i="26"/>
  <c r="D21" i="25" s="1"/>
  <c r="E23" i="26" l="1"/>
  <c r="E21" i="25" s="1"/>
  <c r="P32" i="33"/>
  <c r="E11" i="31"/>
  <c r="P30" i="33"/>
  <c r="P31"/>
  <c r="P33"/>
  <c r="P34"/>
  <c r="P35"/>
  <c r="P36"/>
  <c r="P38"/>
  <c r="P29"/>
  <c r="Q29"/>
  <c r="G24" i="25"/>
  <c r="P37" i="33" l="1"/>
  <c r="F24" i="25"/>
  <c r="E17" i="33"/>
  <c r="D22"/>
  <c r="E37" i="32"/>
  <c r="E32"/>
  <c r="D32"/>
  <c r="E30" i="26"/>
  <c r="H21"/>
  <c r="D44" i="30"/>
  <c r="E44"/>
  <c r="I21" i="26"/>
  <c r="I29" i="24"/>
  <c r="E39" i="32" l="1"/>
  <c r="E54" i="30" s="1"/>
  <c r="E52"/>
  <c r="E47"/>
  <c r="P39" i="33"/>
  <c r="E32"/>
  <c r="E24" i="25" s="1"/>
  <c r="P40" i="33"/>
  <c r="E25"/>
  <c r="D32" i="24" s="1"/>
  <c r="H22" i="30"/>
  <c r="H23"/>
  <c r="H24"/>
  <c r="H25"/>
  <c r="H21"/>
  <c r="H15"/>
  <c r="H17"/>
  <c r="H18"/>
  <c r="C33" i="31"/>
  <c r="C15"/>
  <c r="H29" i="24"/>
  <c r="F44" i="30"/>
  <c r="E40" i="32" l="1"/>
  <c r="E55" i="30" s="1"/>
  <c r="C35" i="31"/>
  <c r="E35" s="1"/>
  <c r="E46" i="30"/>
  <c r="D38" i="33"/>
  <c r="D36"/>
  <c r="D34"/>
  <c r="D33"/>
  <c r="D29"/>
  <c r="E34"/>
  <c r="E33"/>
  <c r="D17"/>
  <c r="E29"/>
  <c r="E36"/>
  <c r="D37" i="32"/>
  <c r="D52" i="30" s="1"/>
  <c r="D47"/>
  <c r="F53"/>
  <c r="F51"/>
  <c r="F49"/>
  <c r="F47"/>
  <c r="F48"/>
  <c r="F25" i="25"/>
  <c r="F40" i="33"/>
  <c r="F26" i="25" s="1"/>
  <c r="E38" i="33" l="1"/>
  <c r="D39" i="32"/>
  <c r="E37" i="33"/>
  <c r="D32"/>
  <c r="D24" i="25" s="1"/>
  <c r="F54" i="30"/>
  <c r="F52"/>
  <c r="G25" i="25"/>
  <c r="G26"/>
  <c r="D54" i="30" l="1"/>
  <c r="F55"/>
  <c r="D40" i="32"/>
  <c r="E39" i="33"/>
  <c r="E25" i="25" s="1"/>
  <c r="D55" i="30" l="1"/>
  <c r="I55"/>
  <c r="E40" i="33"/>
  <c r="E26" i="25" s="1"/>
  <c r="H58" i="26"/>
  <c r="E67" i="32" l="1"/>
  <c r="D67"/>
  <c r="F66"/>
  <c r="F65"/>
  <c r="F67" l="1"/>
  <c r="D68" i="30" l="1"/>
  <c r="G58" i="26" l="1"/>
  <c r="F58"/>
  <c r="E58"/>
  <c r="D57"/>
  <c r="I28" l="1"/>
  <c r="I27"/>
  <c r="E25" i="31"/>
  <c r="I19" i="26"/>
  <c r="H18"/>
  <c r="E29" i="31"/>
  <c r="E23"/>
  <c r="N30" i="33"/>
  <c r="O30"/>
  <c r="N31"/>
  <c r="O31"/>
  <c r="N33"/>
  <c r="O33"/>
  <c r="N34"/>
  <c r="O34"/>
  <c r="N35"/>
  <c r="O35"/>
  <c r="N36"/>
  <c r="O36"/>
  <c r="N38"/>
  <c r="O38"/>
  <c r="O29"/>
  <c r="N29"/>
  <c r="O37"/>
  <c r="H21" i="25"/>
  <c r="H17" i="26"/>
  <c r="I28" i="24"/>
  <c r="H22"/>
  <c r="H25"/>
  <c r="H26"/>
  <c r="H27"/>
  <c r="H28"/>
  <c r="I38" i="33"/>
  <c r="H38"/>
  <c r="I36"/>
  <c r="H36"/>
  <c r="I34"/>
  <c r="H34"/>
  <c r="I33"/>
  <c r="H33"/>
  <c r="I30"/>
  <c r="H30"/>
  <c r="I29"/>
  <c r="H29"/>
  <c r="I23"/>
  <c r="H23"/>
  <c r="I21"/>
  <c r="H21"/>
  <c r="I19"/>
  <c r="H19"/>
  <c r="I18"/>
  <c r="H18"/>
  <c r="I15"/>
  <c r="H15"/>
  <c r="I14"/>
  <c r="H14"/>
  <c r="D67" i="26"/>
  <c r="E59" i="32"/>
  <c r="H37" i="24"/>
  <c r="H35"/>
  <c r="I35"/>
  <c r="I27"/>
  <c r="H28" i="26"/>
  <c r="I32"/>
  <c r="H32"/>
  <c r="I21" i="25"/>
  <c r="I26"/>
  <c r="I25"/>
  <c r="I24"/>
  <c r="H24"/>
  <c r="I16"/>
  <c r="H16"/>
  <c r="D59" i="32"/>
  <c r="I17" i="24"/>
  <c r="H17"/>
  <c r="H27" i="26"/>
  <c r="E14" i="31"/>
  <c r="E13"/>
  <c r="E12"/>
  <c r="I25" i="24"/>
  <c r="E19" i="31"/>
  <c r="H15" i="26"/>
  <c r="I15"/>
  <c r="H14" i="30"/>
  <c r="I14"/>
  <c r="I15"/>
  <c r="I17"/>
  <c r="I18"/>
  <c r="H19"/>
  <c r="I19"/>
  <c r="I21"/>
  <c r="I22"/>
  <c r="I23"/>
  <c r="I24"/>
  <c r="I25"/>
  <c r="H29"/>
  <c r="I29"/>
  <c r="H30"/>
  <c r="I30"/>
  <c r="H32"/>
  <c r="I32"/>
  <c r="H33"/>
  <c r="I33"/>
  <c r="H34"/>
  <c r="I34"/>
  <c r="H36"/>
  <c r="I36"/>
  <c r="H37"/>
  <c r="I37"/>
  <c r="H38"/>
  <c r="I38"/>
  <c r="H39"/>
  <c r="I39"/>
  <c r="H40"/>
  <c r="I40"/>
  <c r="H44"/>
  <c r="I44"/>
  <c r="H45"/>
  <c r="I45"/>
  <c r="H48"/>
  <c r="I48"/>
  <c r="H49"/>
  <c r="I49"/>
  <c r="H51"/>
  <c r="I51"/>
  <c r="H53"/>
  <c r="I53"/>
  <c r="H14" i="32"/>
  <c r="I14"/>
  <c r="I15"/>
  <c r="H18"/>
  <c r="I18"/>
  <c r="H21"/>
  <c r="I21"/>
  <c r="H23"/>
  <c r="I23"/>
  <c r="H29"/>
  <c r="I29"/>
  <c r="H30"/>
  <c r="I30"/>
  <c r="H33"/>
  <c r="I33"/>
  <c r="H34"/>
  <c r="I34"/>
  <c r="H36"/>
  <c r="I36"/>
  <c r="I38"/>
  <c r="I22" i="24"/>
  <c r="H32" i="32"/>
  <c r="I22"/>
  <c r="I17"/>
  <c r="H22"/>
  <c r="H37"/>
  <c r="I37"/>
  <c r="H38"/>
  <c r="H17"/>
  <c r="I17" i="33"/>
  <c r="H17"/>
  <c r="I22"/>
  <c r="I24" l="1"/>
  <c r="I25"/>
  <c r="I25" i="32"/>
  <c r="I24"/>
  <c r="H24"/>
  <c r="H25"/>
  <c r="H19" i="26"/>
  <c r="I39" i="32"/>
  <c r="O39" i="33"/>
  <c r="I37" i="24"/>
  <c r="N32" i="33"/>
  <c r="E28" i="31"/>
  <c r="I20" i="26"/>
  <c r="I18"/>
  <c r="I16"/>
  <c r="E24" i="31"/>
  <c r="H16" i="26"/>
  <c r="H20"/>
  <c r="I17"/>
  <c r="I26" i="24"/>
  <c r="I30" i="26" l="1"/>
  <c r="I32" i="33"/>
  <c r="H32"/>
  <c r="I52" i="30"/>
  <c r="H52"/>
  <c r="I47"/>
  <c r="H47"/>
  <c r="I37" i="33"/>
  <c r="I32" i="32"/>
  <c r="O32" i="33"/>
  <c r="H39" i="32"/>
  <c r="I23" i="26"/>
  <c r="I39" i="33" l="1"/>
  <c r="I54" i="30"/>
  <c r="H54"/>
  <c r="O40" i="33"/>
  <c r="I40" i="32"/>
  <c r="F58"/>
  <c r="F57"/>
  <c r="H40"/>
  <c r="E33" i="31"/>
  <c r="H55" i="30" l="1"/>
  <c r="I40" i="33"/>
  <c r="E15" i="31" l="1"/>
  <c r="I26" i="26"/>
  <c r="N37" i="33"/>
  <c r="H22"/>
  <c r="D37"/>
  <c r="H37" s="1"/>
  <c r="D24"/>
  <c r="H24" s="1"/>
  <c r="D39" l="1"/>
  <c r="N39"/>
  <c r="D25"/>
  <c r="H26" i="26" l="1"/>
  <c r="H39" i="33"/>
  <c r="D25" i="25"/>
  <c r="H25" s="1"/>
  <c r="H25" i="33"/>
  <c r="D40"/>
  <c r="N40"/>
  <c r="H23" i="26"/>
  <c r="D30"/>
  <c r="H30" s="1"/>
  <c r="D34" i="24" l="1"/>
  <c r="H32"/>
  <c r="H40" i="33"/>
  <c r="D26" i="25"/>
  <c r="H26" s="1"/>
  <c r="D38" i="24" l="1"/>
  <c r="H38" s="1"/>
  <c r="H34"/>
  <c r="E34"/>
  <c r="E38" s="1"/>
  <c r="I32"/>
  <c r="I38" l="1"/>
  <c r="I34"/>
</calcChain>
</file>

<file path=xl/sharedStrings.xml><?xml version="1.0" encoding="utf-8"?>
<sst xmlns="http://schemas.openxmlformats.org/spreadsheetml/2006/main" count="662" uniqueCount="289">
  <si>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</si>
  <si>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</si>
  <si>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</si>
  <si>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</si>
  <si>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</si>
  <si>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</si>
  <si>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</si>
  <si>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</si>
  <si>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</si>
  <si>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</si>
  <si>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</si>
  <si>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</si>
  <si>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</si>
  <si>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</si>
  <si>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</si>
  <si>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</si>
  <si>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</si>
  <si>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</si>
  <si>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</si>
  <si>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</si>
  <si>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</si>
  <si>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</si>
  <si>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</si>
  <si>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</si>
  <si>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</si>
  <si>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</si>
  <si>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</si>
  <si>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</si>
  <si>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</si>
  <si>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</si>
  <si>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</si>
  <si>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</si>
  <si>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</si>
  <si>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</si>
  <si>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</si>
  <si>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</si>
  <si>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</si>
  <si>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</si>
  <si>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</si>
  <si>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</si>
  <si>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</si>
  <si>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</si>
  <si>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</si>
  <si>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</si>
  <si>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</si>
  <si>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</si>
  <si>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</si>
  <si>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</si>
  <si>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</si>
  <si>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</si>
  <si>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</si>
  <si>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</si>
  <si>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</si>
  <si>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</si>
  <si>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</si>
  <si>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</si>
  <si>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</si>
  <si>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</si>
  <si>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</si>
  <si>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</si>
  <si>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</si>
  <si>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</si>
  <si>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</si>
  <si>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</si>
  <si>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</si>
  <si>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</si>
  <si>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</si>
  <si>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</si>
  <si>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</si>
  <si>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</si>
  <si>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</si>
  <si>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</si>
  <si>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</si>
  <si>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</si>
  <si>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</si>
  <si>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</si>
  <si>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</si>
  <si>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</si>
  <si>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</si>
  <si>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</si>
  <si>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</si>
  <si>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</si>
  <si>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</si>
  <si>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</si>
  <si>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</si>
  <si>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</si>
  <si>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</si>
  <si>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</si>
  <si>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</si>
  <si>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</si>
  <si>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</si>
  <si>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</si>
  <si>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</si>
  <si>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</si>
  <si>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</si>
  <si>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</si>
  <si>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</si>
  <si>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</si>
  <si>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</si>
  <si>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</si>
  <si>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</si>
  <si>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</si>
  <si>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</si>
  <si>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</si>
  <si>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</si>
  <si>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</si>
  <si>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</si>
  <si>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</si>
  <si>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</si>
  <si>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</si>
  <si>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</si>
  <si>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</si>
  <si>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</si>
  <si>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</si>
  <si>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</si>
  <si>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</si>
  <si>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</si>
  <si>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</si>
  <si>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</si>
  <si>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</si>
  <si>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</si>
  <si>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</si>
  <si>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</si>
  <si>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</si>
  <si>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</si>
  <si>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</si>
  <si>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</si>
  <si>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</si>
  <si>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</si>
  <si>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</si>
  <si>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</si>
  <si>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</si>
  <si>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</si>
  <si>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</si>
  <si>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</si>
  <si>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</si>
  <si>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</si>
  <si>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</si>
  <si>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</si>
  <si>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</si>
  <si>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</si>
  <si>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</si>
  <si>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</si>
  <si>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</si>
  <si>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</si>
  <si>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</si>
  <si>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</si>
  <si>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</si>
  <si>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</si>
  <si>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</si>
  <si>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</si>
  <si>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</si>
  <si>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</si>
  <si>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</si>
  <si>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</si>
  <si>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</si>
  <si>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</si>
  <si>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</si>
  <si>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</si>
  <si>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</si>
  <si>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</si>
  <si>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</si>
  <si>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</si>
  <si>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</si>
  <si>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</si>
  <si>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</si>
  <si>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</si>
  <si>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</si>
  <si>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</si>
  <si>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</si>
  <si>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</si>
  <si>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</si>
  <si>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</si>
  <si>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</si>
  <si>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</si>
  <si>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</si>
  <si>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</si>
  <si>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</si>
  <si>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</si>
  <si>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</si>
  <si>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</si>
  <si>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</si>
  <si>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</si>
  <si>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</si>
  <si>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</si>
  <si>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</si>
  <si>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</si>
  <si>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</si>
  <si>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</si>
  <si>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</si>
  <si>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</si>
  <si>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</si>
  <si>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</si>
  <si>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</si>
  <si>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</si>
  <si>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</si>
  <si>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</si>
  <si>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</si>
  <si>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</si>
  <si>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</si>
  <si>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</si>
  <si>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</si>
  <si>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</si>
  <si>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</si>
  <si>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</si>
  <si>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</si>
  <si>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</si>
  <si>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</si>
  <si>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</si>
  <si>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</si>
  <si>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</si>
  <si>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</si>
  <si>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</si>
  <si>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</si>
  <si>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</si>
  <si>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</si>
  <si>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</si>
  <si>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</si>
  <si>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</si>
  <si>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</si>
  <si>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</si>
  <si>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</si>
  <si>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</si>
  <si>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</si>
  <si>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</si>
  <si>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</si>
  <si>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</si>
  <si>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</si>
  <si>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</si>
  <si>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</si>
  <si>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</si>
  <si>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</si>
  <si>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</si>
  <si>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Income:</t>
  </si>
  <si>
    <t>Total Income(9+10+11+12)</t>
  </si>
  <si>
    <t>April to Dec-19</t>
  </si>
  <si>
    <t>Oct- 2019  to Dec- 2019</t>
  </si>
  <si>
    <t>Oct- 2020  to Dec- 2020</t>
  </si>
  <si>
    <t>April to Dec-20</t>
  </si>
  <si>
    <t>V  -  DISTRIBUTION - KEY DATA</t>
  </si>
  <si>
    <t xml:space="preserve">Action plan for reducing T &amp; D losses in Urban, Industrial and GIDC feeders      </t>
  </si>
  <si>
    <t>Circle</t>
  </si>
  <si>
    <t>Q-III- Sep-20 to Dec-20</t>
  </si>
  <si>
    <t>Q-III- Sep-19 to Dec-19</t>
  </si>
  <si>
    <r>
      <t xml:space="preserve">Nos of feeders </t>
    </r>
    <r>
      <rPr>
        <b/>
        <sz val="10"/>
        <color rgb="FFFF0000"/>
        <rFont val="Leelawadee"/>
        <family val="2"/>
      </rPr>
      <t>having more than 5%</t>
    </r>
    <r>
      <rPr>
        <b/>
        <sz val="10"/>
        <rFont val="Leelawadee"/>
        <family val="2"/>
      </rPr>
      <t xml:space="preserve"> where losses increased in current period</t>
    </r>
  </si>
  <si>
    <t>Reason thereof and action being taken</t>
  </si>
  <si>
    <t xml:space="preserve">Total nos. of feeders     </t>
  </si>
  <si>
    <r>
      <t>Nos. of feeders having losses more than</t>
    </r>
    <r>
      <rPr>
        <b/>
        <sz val="10"/>
        <color rgb="FFFF0000"/>
        <rFont val="Leelawadee"/>
        <family val="2"/>
      </rPr>
      <t xml:space="preserve"> 5 %     </t>
    </r>
  </si>
  <si>
    <t xml:space="preserve">Overall % losses    </t>
  </si>
  <si>
    <r>
      <t xml:space="preserve">Nos. of feeders having losses more than </t>
    </r>
    <r>
      <rPr>
        <b/>
        <sz val="10"/>
        <color rgb="FFFF0000"/>
        <rFont val="Leelawadee"/>
        <family val="2"/>
      </rPr>
      <t xml:space="preserve">5 %     </t>
    </r>
  </si>
  <si>
    <t>GIDC</t>
  </si>
  <si>
    <t>Baroda OM</t>
  </si>
  <si>
    <t>Various steps are being taken to reduce the losses of feeder having high losses</t>
  </si>
  <si>
    <t>Baroda City</t>
  </si>
  <si>
    <t>Anand</t>
  </si>
  <si>
    <t>Nadiad</t>
  </si>
  <si>
    <t>Godhra</t>
  </si>
  <si>
    <t>Total</t>
  </si>
  <si>
    <r>
      <t xml:space="preserve">Nos of feeders </t>
    </r>
    <r>
      <rPr>
        <b/>
        <sz val="10"/>
        <color rgb="FFFF0000"/>
        <rFont val="Leelawadee"/>
        <family val="2"/>
      </rPr>
      <t>having more than 25%</t>
    </r>
    <r>
      <rPr>
        <b/>
        <sz val="10"/>
        <rFont val="Leelawadee"/>
        <family val="2"/>
      </rPr>
      <t xml:space="preserve"> where losses increased in current period</t>
    </r>
  </si>
  <si>
    <r>
      <t>Nos. of feeders having losses more than</t>
    </r>
    <r>
      <rPr>
        <b/>
        <sz val="10"/>
        <color rgb="FFFF0000"/>
        <rFont val="Leelawadee"/>
        <family val="2"/>
      </rPr>
      <t xml:space="preserve"> 25 %     </t>
    </r>
  </si>
  <si>
    <r>
      <t xml:space="preserve">Nos. of feeders having losses more than </t>
    </r>
    <r>
      <rPr>
        <b/>
        <sz val="10"/>
        <color rgb="FFFF0000"/>
        <rFont val="Leelawadee"/>
        <family val="2"/>
      </rPr>
      <t xml:space="preserve">25 %   </t>
    </r>
    <r>
      <rPr>
        <b/>
        <sz val="10"/>
        <rFont val="Leelawadee"/>
        <family val="2"/>
      </rPr>
      <t xml:space="preserve">  </t>
    </r>
  </si>
  <si>
    <t>URBAN</t>
  </si>
  <si>
    <t>7+2*</t>
  </si>
  <si>
    <t>*Newly created feeders</t>
  </si>
  <si>
    <r>
      <t xml:space="preserve">Nos of feeders </t>
    </r>
    <r>
      <rPr>
        <b/>
        <sz val="10"/>
        <color rgb="FFFF0000"/>
        <rFont val="Leelawadee"/>
        <family val="2"/>
      </rPr>
      <t>having more than 10%</t>
    </r>
    <r>
      <rPr>
        <b/>
        <sz val="10"/>
        <rFont val="Leelawadee"/>
        <family val="2"/>
      </rPr>
      <t xml:space="preserve"> where losses increased in current period</t>
    </r>
  </si>
  <si>
    <r>
      <t>Nos. of feeders having losses more than</t>
    </r>
    <r>
      <rPr>
        <b/>
        <sz val="10"/>
        <color rgb="FFFF0000"/>
        <rFont val="Leelawadee"/>
        <family val="2"/>
      </rPr>
      <t xml:space="preserve"> 10 %     </t>
    </r>
  </si>
  <si>
    <t>IND</t>
  </si>
  <si>
    <t>1*</t>
  </si>
  <si>
    <t>2*</t>
  </si>
  <si>
    <t>MGVCL</t>
  </si>
  <si>
    <t>V  -   DISTRIBUTION - KEY DATA</t>
  </si>
  <si>
    <t>FY 2020-21 Q-III (Oct-Nov-Dec-20)</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</si>
  <si>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</si>
  <si>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</si>
  <si>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</si>
  <si>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</si>
  <si>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</si>
  <si>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</si>
  <si>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</si>
  <si>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</si>
  <si>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</si>
  <si>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</si>
  <si>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</si>
  <si>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Detected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</si>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</sst>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numFmts count="26">
    <numFmt numFmtId="43" formatCode="_(* #,##0.00_);_(* \(#,##0.00\);_(* &quot;-&quot;??_);_(@_)"/>
    <numFmt numFmtId="164" formatCode="0.000"/>
    <numFmt numFmtId="165" formatCode="0.0000"/>
    <numFmt numFmtId="166" formatCode="\$#,##0_);&quot;($&quot;#,##0\)"/>
    <numFmt numFmtId="167" formatCode="#,##0&quot; грн.&quot;;\-#,##0&quot; грн.&quot;"/>
    <numFmt numFmtId="168" formatCode="\£#,##0;&quot;-£&quot;#,##0"/>
    <numFmt numFmtId="169" formatCode="\\#,##0.00;[Red]&quot;-\&quot;#,##0.00"/>
    <numFmt numFmtId="170" formatCode="_(* #,##0_);_(* \(#,##0\);_(* \-??_);_(@_)"/>
    <numFmt numFmtId="171" formatCode="&quot;грн.&quot;#,##0.00;[Red]&quot;-грн.&quot;#,##0.00"/>
    <numFmt numFmtId="172" formatCode="_-&quot;грн.&quot;* #,##0.00_-;&quot;-грн.&quot;* #,##0.00_-;_-&quot;грн.&quot;* \-??_-;_-@_-"/>
    <numFmt numFmtId="173" formatCode="\\#,##0.00;[Red]&quot;\-&quot;#,##0.00"/>
    <numFmt numFmtId="174" formatCode="_ * #,##0.00_ ;_ * \-#,##0.00_ ;_ * \-??_ ;_ @_ "/>
    <numFmt numFmtId="175" formatCode="\$#,##0.00;[Red]&quot;-$&quot;#,##0.00"/>
    <numFmt numFmtId="176" formatCode="\£#,##0.00;[Red]&quot;-£&quot;#,##0.00"/>
    <numFmt numFmtId="177" formatCode="0_)"/>
    <numFmt numFmtId="178" formatCode="_ * #,##0_ ;_ * \-#,##0_ ;_ * \-_ ;_ @_ "/>
    <numFmt numFmtId="179" formatCode="_-* #,##0.00&quot; €&quot;_-;\-* #,##0.00&quot; €&quot;_-;_-* \-??&quot; €&quot;_-;_-@_-"/>
    <numFmt numFmtId="180" formatCode="#,##0.0"/>
    <numFmt numFmtId="181" formatCode="_-* #,##0\ _F_-;\-* #,##0\ _F_-;_-* &quot;- &quot;_F_-;_-@_-"/>
    <numFmt numFmtId="182" formatCode="_-* #,##0.00\ _F_-;\-* #,##0.00\ _F_-;_-* \-??\ _F_-;_-@_-"/>
    <numFmt numFmtId="183" formatCode="_ &quot;Fr. &quot;* #,##0_ ;_ &quot;Fr. &quot;* \-#,##0_ ;_ &quot;Fr. &quot;* \-_ ;_ @_ "/>
    <numFmt numFmtId="184" formatCode="_ &quot;Fr. &quot;* #,##0.00_ ;_ &quot;Fr. &quot;* \-#,##0.00_ ;_ &quot;Fr. &quot;* \-??_ ;_ @_ "/>
    <numFmt numFmtId="185" formatCode="_-\$* #,##0_-;&quot;-$&quot;* #,##0_-;_-\$* \-_-;_-@_-"/>
    <numFmt numFmtId="186" formatCode="_-\$* #,##0.00_-;&quot;-$&quot;* #,##0.00_-;_-\$* \-??_-;_-@_-"/>
    <numFmt numFmtId="187" formatCode="\\#,##0;[Red]&quot;\-&quot;#,##0"/>
    <numFmt numFmtId="188" formatCode="[$-409]mmm\-yy;@"/>
  </numFmts>
  <fonts count="87">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sz val="12"/>
      <color theme="1"/>
      <name val="Arial"/>
      <family val="2"/>
    </font>
    <font>
      <b/>
      <sz val="12"/>
      <name val="Leelawadee"/>
      <family val="2"/>
    </font>
    <font>
      <sz val="10"/>
      <color theme="1"/>
      <name val="Leelawadee"/>
      <family val="2"/>
    </font>
    <font>
      <b/>
      <sz val="10"/>
      <name val="Leelawadee"/>
      <family val="2"/>
    </font>
    <font>
      <b/>
      <sz val="10"/>
      <color rgb="FFFF0000"/>
      <name val="Leelawadee"/>
      <family val="2"/>
    </font>
    <font>
      <sz val="10"/>
      <name val="Leelawadee"/>
      <family val="2"/>
    </font>
    <font>
      <b/>
      <sz val="10"/>
      <color theme="1"/>
      <name val="Leelawadee"/>
      <family val="2"/>
    </font>
    <font>
      <sz val="8"/>
      <color theme="1"/>
      <name val="Leelawadee"/>
      <family val="2"/>
    </font>
    <font>
      <b/>
      <sz val="8"/>
      <name val="Leelawadee"/>
      <family val="2"/>
    </font>
    <font>
      <sz val="10"/>
      <color rgb="FFFF0000"/>
      <name val="Leelawadee"/>
      <family val="2"/>
    </font>
    <font>
      <sz val="10"/>
      <color indexed="8"/>
      <name val="Arial"/>
      <family val="2"/>
    </font>
    <font>
      <sz val="10"/>
      <color indexed="8"/>
      <name val="ARIAL"/>
      <family val="2"/>
      <charset val="1"/>
    </font>
    <font>
      <sz val="11"/>
      <name val="‚l‚r ‚oƒSƒVƒbƒN"/>
      <family val="3"/>
      <charset val="128"/>
    </font>
    <font>
      <sz val="7"/>
      <name val="Helv"/>
      <family val="2"/>
    </font>
    <font>
      <sz val="7"/>
      <name val="Helv"/>
    </font>
    <font>
      <sz val="12"/>
      <name val="Tms Rmn"/>
    </font>
    <font>
      <b/>
      <sz val="10"/>
      <name val="MS Sans Serif"/>
      <family val="2"/>
    </font>
    <font>
      <sz val="12"/>
      <name val="¹UAAA¼"/>
      <family val="3"/>
      <charset val="129"/>
    </font>
    <font>
      <sz val="11"/>
      <color indexed="8"/>
      <name val="Calibri"/>
      <family val="2"/>
    </font>
    <font>
      <sz val="12"/>
      <name val="Helv"/>
    </font>
    <font>
      <sz val="11"/>
      <name val="Times New Roman"/>
      <family val="1"/>
    </font>
    <font>
      <sz val="10"/>
      <color indexed="10"/>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u/>
      <sz val="9"/>
      <color indexed="12"/>
      <name val="Arial"/>
      <family val="2"/>
      <charset val="238"/>
    </font>
    <font>
      <u/>
      <sz val="9"/>
      <color indexed="12"/>
      <name val="Arial"/>
      <family val="2"/>
    </font>
    <font>
      <sz val="7"/>
      <name val="Small Fonts"/>
      <family val="2"/>
    </font>
    <font>
      <sz val="10"/>
      <name val="Courier New"/>
      <family val="3"/>
    </font>
    <font>
      <sz val="7"/>
      <color indexed="10"/>
      <name val="Helv"/>
      <family val="2"/>
    </font>
    <font>
      <sz val="7"/>
      <color indexed="10"/>
      <name val="Helv"/>
    </font>
    <font>
      <u/>
      <sz val="9"/>
      <color indexed="20"/>
      <name val="Arial"/>
      <family val="2"/>
      <charset val="238"/>
    </font>
    <font>
      <u/>
      <sz val="9"/>
      <color indexed="20"/>
      <name val="Arial"/>
      <family val="2"/>
    </font>
    <font>
      <b/>
      <sz val="11"/>
      <color indexed="8"/>
      <name val="Calibri"/>
      <family val="2"/>
    </font>
    <font>
      <sz val="12"/>
      <name val="뼻뮝"/>
      <family val="1"/>
      <charset val="129"/>
    </font>
    <font>
      <sz val="10"/>
      <name val="굴림체"/>
      <family val="3"/>
      <charset val="129"/>
    </font>
    <font>
      <b/>
      <sz val="24"/>
      <color theme="1"/>
      <name val="Leelawadee"/>
      <family val="2"/>
    </font>
    <font>
      <b/>
      <sz val="16"/>
      <name val="Leelawadee"/>
      <family val="2"/>
    </font>
    <font>
      <b/>
      <sz val="16"/>
      <color theme="1"/>
      <name val="Leelawadee"/>
      <family val="2"/>
    </font>
    <font>
      <b/>
      <sz val="12"/>
      <color theme="1"/>
      <name val="Leelawadee"/>
      <family val="2"/>
    </font>
    <font>
      <sz val="12"/>
      <color theme="1"/>
      <name val="Leelawadee"/>
      <family val="2"/>
    </font>
    <font>
      <b/>
      <sz val="11"/>
      <color theme="1"/>
      <name val="Leelawadee"/>
      <family val="2"/>
    </font>
  </fonts>
  <fills count="10">
    <fill>
      <patternFill patternType="none"/>
    </fill>
    <fill>
      <patternFill patternType="gray125"/>
    </fill>
    <fill>
      <patternFill patternType="solid">
        <fgColor theme="0"/>
        <bgColor indexed="64"/>
      </patternFill>
    </fill>
    <fill>
      <patternFill patternType="solid">
        <fgColor indexed="22"/>
        <bgColor indexed="31"/>
      </patternFill>
    </fill>
    <fill>
      <patternFill patternType="solid">
        <fgColor indexed="65"/>
        <bgColor indexed="64"/>
      </patternFill>
    </fill>
    <fill>
      <patternFill patternType="solid">
        <fgColor indexed="26"/>
        <bgColor indexed="9"/>
      </patternFill>
    </fill>
    <fill>
      <patternFill patternType="solid">
        <fgColor indexed="26"/>
      </patternFill>
    </fill>
    <fill>
      <patternFill patternType="solid">
        <fgColor indexed="43"/>
        <bgColor indexed="64"/>
      </patternFill>
    </fill>
    <fill>
      <patternFill patternType="solid">
        <fgColor theme="3" tint="0.79998168889431442"/>
        <bgColor indexed="64"/>
      </patternFill>
    </fill>
    <fill>
      <patternFill patternType="solid">
        <fgColor theme="6" tint="0.59999389629810485"/>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thin">
        <color indexed="8"/>
      </top>
      <bottom/>
      <diagonal/>
    </border>
    <border>
      <left style="thin">
        <color indexed="8"/>
      </left>
      <right style="thin">
        <color indexed="8"/>
      </right>
      <top/>
      <bottom style="hair">
        <color indexed="8"/>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s>
  <cellStyleXfs count="251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4"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4"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3" fillId="0" borderId="0">
      <alignment vertical="top"/>
    </xf>
    <xf numFmtId="0" fontId="53" fillId="0" borderId="0">
      <alignment vertical="top"/>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xf numFmtId="0" fontId="53" fillId="0" borderId="0" applyFill="0" applyBorder="0">
      <alignment vertical="top"/>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3" fontId="56" fillId="0" borderId="0"/>
    <xf numFmtId="3" fontId="57" fillId="0" borderId="0"/>
    <xf numFmtId="3" fontId="57" fillId="0" borderId="0"/>
    <xf numFmtId="0" fontId="58" fillId="0" borderId="0" applyNumberFormat="0" applyFill="0" applyBorder="0" applyAlignment="0" applyProtection="0"/>
    <xf numFmtId="166" fontId="59" fillId="0" borderId="45" applyAlignment="0" applyProtection="0"/>
    <xf numFmtId="167" fontId="59" fillId="0" borderId="45" applyAlignment="0" applyProtection="0"/>
    <xf numFmtId="168" fontId="59" fillId="0" borderId="45" applyAlignment="0" applyProtection="0"/>
    <xf numFmtId="167" fontId="59" fillId="0" borderId="45" applyAlignment="0" applyProtection="0"/>
    <xf numFmtId="0" fontId="60" fillId="0" borderId="0"/>
    <xf numFmtId="0" fontId="60" fillId="0" borderId="0"/>
    <xf numFmtId="0" fontId="60"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69" fontId="6" fillId="0" borderId="0"/>
    <xf numFmtId="170" fontId="6" fillId="0" borderId="0" applyFill="0" applyBorder="0" applyAlignment="0" applyProtection="0"/>
    <xf numFmtId="43" fontId="61" fillId="0" borderId="0" applyFont="0" applyFill="0" applyBorder="0" applyAlignment="0" applyProtection="0"/>
    <xf numFmtId="164" fontId="6" fillId="0" borderId="0" applyFill="0" applyBorder="0" applyAlignment="0" applyProtection="0"/>
    <xf numFmtId="171" fontId="6" fillId="0" borderId="0" applyFill="0" applyBorder="0" applyAlignment="0" applyProtection="0"/>
    <xf numFmtId="172" fontId="6" fillId="0" borderId="0" applyFill="0" applyBorder="0" applyAlignment="0" applyProtection="0"/>
    <xf numFmtId="173" fontId="6" fillId="0" borderId="0" applyFill="0" applyBorder="0" applyAlignment="0" applyProtection="0"/>
    <xf numFmtId="170" fontId="6" fillId="0" borderId="0" applyFill="0" applyBorder="0" applyAlignment="0" applyProtection="0"/>
    <xf numFmtId="174"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170"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3" fontId="6" fillId="0" borderId="0" applyFill="0" applyBorder="0" applyAlignment="0" applyProtection="0"/>
    <xf numFmtId="175" fontId="6" fillId="0" borderId="0" applyFill="0" applyBorder="0" applyAlignment="0" applyProtection="0"/>
    <xf numFmtId="171" fontId="6" fillId="0" borderId="0" applyFill="0" applyBorder="0" applyAlignment="0" applyProtection="0"/>
    <xf numFmtId="176" fontId="6" fillId="0" borderId="0" applyFill="0" applyBorder="0" applyAlignment="0" applyProtection="0"/>
    <xf numFmtId="171" fontId="6" fillId="0" borderId="0" applyFill="0" applyBorder="0" applyAlignment="0" applyProtection="0"/>
    <xf numFmtId="177" fontId="62" fillId="0" borderId="0">
      <alignment vertical="center"/>
    </xf>
    <xf numFmtId="0"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0" fontId="63" fillId="0" borderId="0">
      <alignment horizontal="center" vertical="center" wrapText="1"/>
    </xf>
    <xf numFmtId="178" fontId="6" fillId="0" borderId="0" applyFill="0" applyBorder="0" applyAlignment="0" applyProtection="0"/>
    <xf numFmtId="174"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179" fontId="6" fillId="0" borderId="0" applyFill="0" applyBorder="0" applyAlignment="0" applyProtection="0"/>
    <xf numFmtId="0" fontId="6" fillId="0" borderId="0"/>
    <xf numFmtId="2" fontId="6" fillId="0" borderId="0" applyFill="0" applyBorder="0" applyAlignment="0" applyProtection="0"/>
    <xf numFmtId="2" fontId="6" fillId="0" borderId="0" applyFill="0" applyBorder="0" applyAlignment="0" applyProtection="0"/>
    <xf numFmtId="2" fontId="6" fillId="0" borderId="0" applyFill="0" applyBorder="0" applyAlignment="0" applyProtection="0"/>
    <xf numFmtId="180" fontId="64" fillId="0" borderId="46">
      <alignment horizontal="right"/>
    </xf>
    <xf numFmtId="180" fontId="64" fillId="0" borderId="46">
      <alignment horizontal="right"/>
    </xf>
    <xf numFmtId="180" fontId="64" fillId="0" borderId="46">
      <alignment horizontal="right"/>
    </xf>
    <xf numFmtId="180" fontId="64" fillId="0" borderId="46">
      <alignment horizontal="right"/>
    </xf>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65" fillId="4" borderId="0"/>
    <xf numFmtId="0" fontId="66" fillId="0" borderId="47" applyNumberFormat="0" applyAlignment="0" applyProtection="0"/>
    <xf numFmtId="0" fontId="66" fillId="0" borderId="47" applyNumberFormat="0" applyAlignment="0" applyProtection="0"/>
    <xf numFmtId="0" fontId="66" fillId="0" borderId="47" applyNumberFormat="0" applyAlignment="0" applyProtection="0"/>
    <xf numFmtId="0" fontId="66" fillId="0" borderId="48">
      <alignment horizontal="left" vertical="center"/>
    </xf>
    <xf numFmtId="0" fontId="66" fillId="0" borderId="48">
      <alignment horizontal="left" vertical="center"/>
    </xf>
    <xf numFmtId="0" fontId="66" fillId="0" borderId="48">
      <alignment horizontal="left" vertical="center"/>
    </xf>
    <xf numFmtId="0" fontId="67" fillId="0" borderId="0" applyNumberFormat="0" applyFill="0" applyBorder="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8" fillId="0" borderId="49" applyNumberFormat="0" applyFill="0" applyAlignment="0" applyProtection="0"/>
    <xf numFmtId="0" fontId="66" fillId="0" borderId="0" applyNumberFormat="0" applyFill="0" applyBorder="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69" fillId="0" borderId="50" applyNumberFormat="0" applyFill="0" applyAlignment="0" applyProtection="0"/>
    <xf numFmtId="0" fontId="70"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alignment vertical="top"/>
      <protection locked="0"/>
    </xf>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181" fontId="6" fillId="0" borderId="0" applyFill="0" applyBorder="0" applyAlignment="0" applyProtection="0"/>
    <xf numFmtId="182" fontId="6" fillId="0" borderId="0" applyFill="0" applyBorder="0" applyAlignment="0" applyProtection="0"/>
    <xf numFmtId="37" fontId="72" fillId="0" borderId="0"/>
    <xf numFmtId="37" fontId="72" fillId="0" borderId="0"/>
    <xf numFmtId="37" fontId="72" fillId="0" borderId="0"/>
    <xf numFmtId="37" fontId="72" fillId="0" borderId="0"/>
    <xf numFmtId="0" fontId="73" fillId="0" borderId="0"/>
    <xf numFmtId="0" fontId="73" fillId="0" borderId="0"/>
    <xf numFmtId="0" fontId="73" fillId="0" borderId="0"/>
    <xf numFmtId="0" fontId="73" fillId="0" borderId="0"/>
    <xf numFmtId="164" fontId="6" fillId="0" borderId="0"/>
    <xf numFmtId="164" fontId="6" fillId="0" borderId="0"/>
    <xf numFmtId="164" fontId="6" fillId="0" borderId="0"/>
    <xf numFmtId="164" fontId="6" fillId="0" borderId="0"/>
    <xf numFmtId="0" fontId="6" fillId="0" borderId="0"/>
    <xf numFmtId="0" fontId="6" fillId="0" borderId="0">
      <alignment vertical="top"/>
    </xf>
    <xf numFmtId="0" fontId="6" fillId="0" borderId="0">
      <alignment vertical="top"/>
    </xf>
    <xf numFmtId="0" fontId="1" fillId="0" borderId="0"/>
    <xf numFmtId="0" fontId="1" fillId="0" borderId="0"/>
    <xf numFmtId="0" fontId="1" fillId="0" borderId="0"/>
    <xf numFmtId="0" fontId="6" fillId="0" borderId="0"/>
    <xf numFmtId="0" fontId="6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1" fillId="0" borderId="0"/>
    <xf numFmtId="0" fontId="6" fillId="0" borderId="0"/>
    <xf numFmtId="0" fontId="6" fillId="0" borderId="0"/>
    <xf numFmtId="0" fontId="6" fillId="0" borderId="0"/>
    <xf numFmtId="0" fontId="6" fillId="0" borderId="0"/>
    <xf numFmtId="0" fontId="6" fillId="0" borderId="0"/>
    <xf numFmtId="0" fontId="6" fillId="0" borderId="0">
      <alignment vertical="top"/>
    </xf>
    <xf numFmtId="0" fontId="1" fillId="0" borderId="0"/>
    <xf numFmtId="0" fontId="61" fillId="0" borderId="0"/>
    <xf numFmtId="0" fontId="6" fillId="0" borderId="0"/>
    <xf numFmtId="0" fontId="6" fillId="0" borderId="0"/>
    <xf numFmtId="0" fontId="6" fillId="0" borderId="0">
      <alignment vertical="top"/>
    </xf>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0" fontId="61" fillId="6" borderId="51" applyNumberFormat="0" applyFont="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10" fontId="6" fillId="0" borderId="0" applyFill="0" applyBorder="0" applyAlignment="0" applyProtection="0"/>
    <xf numFmtId="9" fontId="6" fillId="0" borderId="0" applyFill="0" applyBorder="0" applyAlignment="0" applyProtection="0"/>
    <xf numFmtId="9" fontId="6" fillId="0" borderId="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3" fontId="74" fillId="0" borderId="0"/>
    <xf numFmtId="3" fontId="75" fillId="0" borderId="0"/>
    <xf numFmtId="3" fontId="75" fillId="0" borderId="0"/>
    <xf numFmtId="0" fontId="6" fillId="7" borderId="52">
      <alignment horizontal="center" vertical="center" wrapText="1"/>
    </xf>
    <xf numFmtId="0" fontId="7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53" fillId="0" borderId="0">
      <alignment vertical="top"/>
    </xf>
    <xf numFmtId="0" fontId="53" fillId="0" borderId="0">
      <alignment vertical="top"/>
    </xf>
    <xf numFmtId="0" fontId="53" fillId="0" borderId="0">
      <alignment vertical="top"/>
    </xf>
    <xf numFmtId="0" fontId="53" fillId="0" borderId="0">
      <alignment vertical="top"/>
    </xf>
    <xf numFmtId="0" fontId="6" fillId="0" borderId="53"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0" fontId="78" fillId="0" borderId="54" applyNumberFormat="0" applyFill="0" applyAlignment="0" applyProtection="0"/>
    <xf numFmtId="183" fontId="6" fillId="0" borderId="0" applyFill="0" applyBorder="0" applyAlignment="0" applyProtection="0"/>
    <xf numFmtId="184" fontId="6" fillId="0" borderId="0" applyFill="0" applyBorder="0" applyAlignment="0" applyProtection="0"/>
    <xf numFmtId="40" fontId="6" fillId="0" borderId="0" applyFill="0" applyBorder="0" applyAlignment="0" applyProtection="0"/>
    <xf numFmtId="38" fontId="6" fillId="0" borderId="0" applyFill="0" applyBorder="0" applyAlignment="0" applyProtection="0"/>
    <xf numFmtId="0" fontId="6" fillId="0" borderId="0" applyFill="0" applyBorder="0" applyAlignment="0" applyProtection="0"/>
    <xf numFmtId="0" fontId="6" fillId="0" borderId="0" applyFill="0" applyBorder="0" applyAlignment="0" applyProtection="0"/>
    <xf numFmtId="10" fontId="6" fillId="0" borderId="0" applyFill="0" applyBorder="0" applyAlignment="0" applyProtection="0"/>
    <xf numFmtId="0" fontId="79" fillId="0" borderId="0"/>
    <xf numFmtId="185" fontId="6" fillId="0" borderId="0" applyFill="0" applyBorder="0" applyAlignment="0" applyProtection="0"/>
    <xf numFmtId="186" fontId="6" fillId="0" borderId="0" applyFill="0" applyBorder="0" applyAlignment="0" applyProtection="0"/>
    <xf numFmtId="173" fontId="6" fillId="0" borderId="0" applyFill="0" applyBorder="0" applyAlignment="0" applyProtection="0"/>
    <xf numFmtId="187" fontId="6" fillId="0" borderId="0" applyFill="0" applyBorder="0" applyAlignment="0" applyProtection="0"/>
    <xf numFmtId="0" fontId="80" fillId="0" borderId="0"/>
  </cellStyleXfs>
  <cellXfs count="413">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1" fontId="13" fillId="0" borderId="1" xfId="0" applyNumberFormat="1" applyFont="1" applyFill="1" applyBorder="1" applyAlignment="1">
      <alignment horizontal="righ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4" fillId="0" borderId="0" xfId="0" applyNumberFormat="1" applyFont="1" applyBorder="1" applyAlignment="1">
      <alignment horizontal="right"/>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6" fillId="0" borderId="0" xfId="0" applyNumberFormat="1" applyFont="1"/>
    <xf numFmtId="1" fontId="14" fillId="0" borderId="0" xfId="0" applyNumberFormat="1" applyFont="1" applyFill="1" applyBorder="1" applyAlignment="1">
      <alignment horizontal="right"/>
    </xf>
    <xf numFmtId="1" fontId="13" fillId="0" borderId="4" xfId="0" applyNumberFormat="1" applyFont="1" applyFill="1" applyBorder="1" applyAlignment="1">
      <alignment vertical="center" wrapText="1"/>
    </xf>
    <xf numFmtId="1" fontId="13" fillId="0" borderId="5" xfId="0" applyNumberFormat="1" applyFont="1" applyFill="1" applyBorder="1" applyAlignment="1">
      <alignment vertical="center" wrapText="1"/>
    </xf>
    <xf numFmtId="1" fontId="13" fillId="0" borderId="1" xfId="0" applyNumberFormat="1" applyFont="1" applyFill="1" applyBorder="1" applyAlignment="1">
      <alignment vertical="center" wrapText="1"/>
    </xf>
    <xf numFmtId="1" fontId="13" fillId="0" borderId="5" xfId="0" applyNumberFormat="1" applyFont="1" applyFill="1" applyBorder="1" applyAlignment="1">
      <alignment horizontal="right" vertical="center" wrapText="1"/>
    </xf>
    <xf numFmtId="2" fontId="16" fillId="0" borderId="0" xfId="2" applyNumberFormat="1" applyFont="1"/>
    <xf numFmtId="10" fontId="16" fillId="0" borderId="0" xfId="2" applyNumberFormat="1" applyFont="1"/>
    <xf numFmtId="1" fontId="13" fillId="0" borderId="1" xfId="0" applyNumberFormat="1" applyFont="1" applyBorder="1" applyAlignment="1">
      <alignment vertical="center" wrapText="1"/>
    </xf>
    <xf numFmtId="2" fontId="13" fillId="0" borderId="1" xfId="0" applyNumberFormat="1" applyFont="1" applyFill="1" applyBorder="1" applyAlignment="1">
      <alignment horizontal="right" vertical="center" wrapText="1"/>
    </xf>
    <xf numFmtId="9" fontId="16" fillId="0" borderId="0" xfId="2" applyFont="1"/>
    <xf numFmtId="10" fontId="14" fillId="0" borderId="0" xfId="2" applyNumberFormat="1" applyFont="1"/>
    <xf numFmtId="10"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1" fontId="13" fillId="0" borderId="1" xfId="0" quotePrefix="1" applyNumberFormat="1" applyFont="1" applyFill="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 fontId="13" fillId="0" borderId="1" xfId="0" applyNumberFormat="1" applyFont="1" applyFill="1" applyBorder="1" applyAlignment="1">
      <alignment horizontal="right" vertical="center" wrapText="1"/>
    </xf>
    <xf numFmtId="10" fontId="13" fillId="0" borderId="32" xfId="0" applyNumberFormat="1" applyFont="1" applyBorder="1" applyAlignment="1">
      <alignment horizontal="right" vertical="center" wrapText="1"/>
    </xf>
    <xf numFmtId="0" fontId="15" fillId="0" borderId="1" xfId="0" applyFont="1" applyBorder="1" applyAlignment="1">
      <alignment horizontal="left" vertical="center" wrapText="1"/>
    </xf>
    <xf numFmtId="2" fontId="13" fillId="0" borderId="24"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0" fontId="13" fillId="0" borderId="1" xfId="0" applyFont="1" applyFill="1" applyBorder="1" applyAlignment="1">
      <alignment horizontal="right" vertical="center" wrapText="1"/>
    </xf>
    <xf numFmtId="10" fontId="13" fillId="0" borderId="8" xfId="0" applyNumberFormat="1" applyFont="1" applyBorder="1" applyAlignment="1">
      <alignment horizontal="right" vertical="center" wrapText="1"/>
    </xf>
    <xf numFmtId="2" fontId="14" fillId="0" borderId="0" xfId="0" applyNumberFormat="1" applyFont="1"/>
    <xf numFmtId="2" fontId="43" fillId="0" borderId="0" xfId="0" applyNumberFormat="1" applyFont="1"/>
    <xf numFmtId="1" fontId="13" fillId="0" borderId="28" xfId="0" applyNumberFormat="1" applyFont="1" applyFill="1" applyBorder="1" applyAlignment="1">
      <alignment horizontal="right" vertical="center" wrapText="1"/>
    </xf>
    <xf numFmtId="1" fontId="13" fillId="0" borderId="5" xfId="0" quotePrefix="1" applyNumberFormat="1" applyFont="1" applyFill="1" applyBorder="1" applyAlignment="1">
      <alignment horizontal="right" vertical="center" wrapText="1"/>
    </xf>
    <xf numFmtId="1" fontId="13" fillId="0" borderId="6" xfId="0" applyNumberFormat="1" applyFont="1" applyFill="1" applyBorder="1" applyAlignment="1">
      <alignment horizontal="right" vertical="center" wrapText="1"/>
    </xf>
    <xf numFmtId="0" fontId="12" fillId="0" borderId="18"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Fill="1" applyBorder="1" applyAlignment="1">
      <alignment horizontal="right" vertical="center" wrapText="1"/>
    </xf>
    <xf numFmtId="164" fontId="43" fillId="0" borderId="0" xfId="0" applyNumberFormat="1" applyFont="1"/>
    <xf numFmtId="0" fontId="45" fillId="0" borderId="0" xfId="4" applyFont="1" applyFill="1"/>
    <xf numFmtId="0" fontId="46" fillId="0" borderId="36" xfId="1" applyFont="1" applyFill="1" applyBorder="1" applyAlignment="1"/>
    <xf numFmtId="0" fontId="46" fillId="0" borderId="37" xfId="1" applyFont="1" applyFill="1" applyBorder="1" applyAlignment="1"/>
    <xf numFmtId="0" fontId="46" fillId="0" borderId="2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16" xfId="1" applyFont="1" applyFill="1" applyBorder="1" applyAlignment="1">
      <alignment horizontal="center" vertical="center" wrapText="1"/>
    </xf>
    <xf numFmtId="0" fontId="48" fillId="0" borderId="1" xfId="1" applyFont="1" applyFill="1" applyBorder="1" applyAlignment="1">
      <alignment horizontal="center" vertical="center" wrapText="1"/>
    </xf>
    <xf numFmtId="0" fontId="48" fillId="0" borderId="1" xfId="1" applyFont="1" applyFill="1" applyBorder="1" applyAlignment="1">
      <alignment horizontal="center" vertical="center"/>
    </xf>
    <xf numFmtId="2" fontId="48" fillId="0" borderId="1" xfId="1" applyNumberFormat="1" applyFont="1" applyFill="1" applyBorder="1" applyAlignment="1">
      <alignment horizontal="center" vertical="center" wrapText="1"/>
    </xf>
    <xf numFmtId="0" fontId="48" fillId="0" borderId="16" xfId="1" applyFont="1" applyFill="1" applyBorder="1" applyAlignment="1">
      <alignment horizontal="center" vertical="center" wrapText="1"/>
    </xf>
    <xf numFmtId="0" fontId="45" fillId="0" borderId="0" xfId="4" applyFont="1" applyFill="1" applyAlignment="1">
      <alignment vertical="center"/>
    </xf>
    <xf numFmtId="0" fontId="49" fillId="0" borderId="0" xfId="4" applyFont="1" applyFill="1" applyBorder="1" applyAlignment="1">
      <alignment horizontal="center" vertical="center"/>
    </xf>
    <xf numFmtId="0" fontId="46" fillId="0" borderId="10" xfId="1" applyFont="1" applyFill="1" applyBorder="1" applyAlignment="1">
      <alignment horizontal="center" vertical="center" wrapText="1"/>
    </xf>
    <xf numFmtId="2" fontId="46" fillId="0" borderId="10" xfId="1" applyNumberFormat="1" applyFont="1" applyFill="1" applyBorder="1" applyAlignment="1">
      <alignment horizontal="center" vertical="center" wrapText="1"/>
    </xf>
    <xf numFmtId="0" fontId="50" fillId="0" borderId="26" xfId="4" applyFont="1" applyFill="1" applyBorder="1" applyAlignment="1">
      <alignment horizontal="center" vertical="center"/>
    </xf>
    <xf numFmtId="0" fontId="51" fillId="0" borderId="2" xfId="1" applyFont="1" applyFill="1" applyBorder="1" applyAlignment="1">
      <alignment horizontal="center" vertical="center" wrapText="1"/>
    </xf>
    <xf numFmtId="0" fontId="50" fillId="0" borderId="0" xfId="4" applyFont="1" applyFill="1" applyAlignment="1">
      <alignment vertical="center"/>
    </xf>
    <xf numFmtId="0" fontId="49" fillId="0" borderId="1" xfId="4" applyFont="1" applyFill="1" applyBorder="1" applyAlignment="1">
      <alignment horizontal="center" vertical="center"/>
    </xf>
    <xf numFmtId="2" fontId="46" fillId="0" borderId="1" xfId="1" applyNumberFormat="1" applyFont="1" applyFill="1" applyBorder="1" applyAlignment="1">
      <alignment horizontal="center" vertical="center" wrapText="1"/>
    </xf>
    <xf numFmtId="0" fontId="50" fillId="0" borderId="42" xfId="4" applyFont="1" applyFill="1" applyBorder="1" applyAlignment="1">
      <alignment horizontal="center" vertical="center"/>
    </xf>
    <xf numFmtId="0" fontId="51" fillId="0" borderId="43" xfId="1" applyFont="1" applyFill="1" applyBorder="1" applyAlignment="1">
      <alignment horizontal="center" vertical="center" wrapText="1"/>
    </xf>
    <xf numFmtId="0" fontId="45" fillId="0" borderId="16" xfId="4" applyFont="1" applyFill="1" applyBorder="1" applyAlignment="1">
      <alignment vertical="center"/>
    </xf>
    <xf numFmtId="0" fontId="50" fillId="0" borderId="2" xfId="4" applyFont="1" applyFill="1" applyBorder="1" applyAlignment="1">
      <alignment horizontal="center" vertical="center"/>
    </xf>
    <xf numFmtId="0" fontId="47" fillId="0" borderId="44" xfId="4" applyNumberFormat="1" applyFont="1" applyFill="1" applyBorder="1" applyAlignment="1">
      <alignment vertical="center" wrapText="1"/>
    </xf>
    <xf numFmtId="0" fontId="52" fillId="0" borderId="44" xfId="4" applyNumberFormat="1" applyFont="1" applyFill="1" applyBorder="1" applyAlignment="1">
      <alignment vertical="center" wrapText="1"/>
    </xf>
    <xf numFmtId="0" fontId="45" fillId="0" borderId="0" xfId="0" applyFont="1" applyFill="1" applyBorder="1"/>
    <xf numFmtId="0" fontId="82" fillId="0" borderId="0" xfId="0" applyFont="1" applyFill="1" applyAlignment="1">
      <alignment horizontal="left" vertical="center"/>
    </xf>
    <xf numFmtId="0" fontId="82" fillId="0" borderId="0" xfId="0" applyFont="1" applyFill="1" applyAlignment="1">
      <alignment vertical="center"/>
    </xf>
    <xf numFmtId="0" fontId="82" fillId="0" borderId="0" xfId="0" applyFont="1" applyFill="1" applyAlignment="1">
      <alignment horizontal="right" vertical="center"/>
    </xf>
    <xf numFmtId="0" fontId="84" fillId="0" borderId="4" xfId="0" applyFont="1" applyFill="1" applyBorder="1" applyAlignment="1">
      <alignment horizontal="center" vertical="center" wrapText="1"/>
    </xf>
    <xf numFmtId="0" fontId="45" fillId="0" borderId="0" xfId="0" quotePrefix="1" applyFont="1" applyFill="1" applyBorder="1"/>
    <xf numFmtId="0" fontId="85" fillId="0" borderId="1" xfId="0" applyFont="1" applyFill="1" applyBorder="1" applyAlignment="1">
      <alignment horizontal="left" vertical="center"/>
    </xf>
    <xf numFmtId="0" fontId="85" fillId="0" borderId="1" xfId="0" applyFont="1" applyFill="1" applyBorder="1" applyAlignment="1">
      <alignment horizontal="center" vertical="center"/>
    </xf>
    <xf numFmtId="0" fontId="85" fillId="0" borderId="1" xfId="0" applyFont="1" applyFill="1" applyBorder="1" applyAlignment="1">
      <alignment vertical="center"/>
    </xf>
    <xf numFmtId="0" fontId="45" fillId="0" borderId="0" xfId="0" applyNumberFormat="1" applyFont="1" applyFill="1" applyBorder="1"/>
    <xf numFmtId="1" fontId="45" fillId="0" borderId="0" xfId="0" applyNumberFormat="1" applyFont="1" applyFill="1" applyBorder="1"/>
    <xf numFmtId="0" fontId="84" fillId="0" borderId="2" xfId="0" applyFont="1" applyFill="1" applyBorder="1" applyAlignment="1">
      <alignment horizontal="left" vertical="center"/>
    </xf>
    <xf numFmtId="0" fontId="84" fillId="0" borderId="2" xfId="0" applyFont="1" applyFill="1" applyBorder="1" applyAlignment="1">
      <alignment horizontal="center" vertical="center"/>
    </xf>
    <xf numFmtId="0" fontId="84" fillId="0" borderId="2" xfId="0" applyFont="1" applyFill="1" applyBorder="1" applyAlignment="1">
      <alignment vertical="center"/>
    </xf>
    <xf numFmtId="188" fontId="45" fillId="0" borderId="0" xfId="0" applyNumberFormat="1" applyFont="1" applyFill="1" applyBorder="1"/>
    <xf numFmtId="0" fontId="84" fillId="0" borderId="7" xfId="0" applyFont="1" applyFill="1" applyBorder="1" applyAlignment="1">
      <alignment horizontal="center" vertical="center" wrapText="1"/>
    </xf>
    <xf numFmtId="0" fontId="45" fillId="0" borderId="0" xfId="0" applyFont="1" applyFill="1" applyBorder="1" applyAlignment="1">
      <alignment vertical="center"/>
    </xf>
    <xf numFmtId="1" fontId="49" fillId="0" borderId="0" xfId="0" applyNumberFormat="1" applyFont="1" applyFill="1" applyBorder="1" applyAlignment="1">
      <alignment vertical="center"/>
    </xf>
    <xf numFmtId="0" fontId="85" fillId="9" borderId="1" xfId="0" applyFont="1" applyFill="1" applyBorder="1" applyAlignment="1">
      <alignment horizontal="center" vertical="center"/>
    </xf>
    <xf numFmtId="1" fontId="85" fillId="9" borderId="1" xfId="0" applyNumberFormat="1" applyFont="1" applyFill="1" applyBorder="1" applyAlignment="1">
      <alignment horizontal="center" vertical="center"/>
    </xf>
    <xf numFmtId="1" fontId="85" fillId="9" borderId="8" xfId="0" applyNumberFormat="1" applyFont="1" applyFill="1" applyBorder="1" applyAlignment="1">
      <alignment horizontal="center" vertical="center"/>
    </xf>
    <xf numFmtId="0" fontId="84" fillId="9" borderId="2" xfId="0" applyFont="1" applyFill="1" applyBorder="1" applyAlignment="1">
      <alignment horizontal="center" vertical="center"/>
    </xf>
    <xf numFmtId="0" fontId="84" fillId="9" borderId="12" xfId="0" applyFont="1" applyFill="1" applyBorder="1" applyAlignment="1">
      <alignment horizontal="center" vertical="center"/>
    </xf>
    <xf numFmtId="0" fontId="45" fillId="0" borderId="0" xfId="0" applyFont="1" applyFill="1" applyBorder="1" applyAlignment="1">
      <alignment horizontal="center" vertical="center"/>
    </xf>
    <xf numFmtId="0" fontId="86" fillId="0" borderId="0" xfId="0" applyFont="1" applyFill="1" applyBorder="1" applyAlignment="1">
      <alignment horizontal="center" vertical="center" wrapText="1"/>
    </xf>
    <xf numFmtId="0" fontId="49" fillId="0" borderId="0" xfId="0" applyFont="1" applyFill="1" applyBorder="1" applyAlignment="1">
      <alignment vertical="center"/>
    </xf>
    <xf numFmtId="16" fontId="45" fillId="0" borderId="0" xfId="0" quotePrefix="1" applyNumberFormat="1" applyFont="1" applyFill="1" applyBorder="1" applyAlignment="1">
      <alignment vertical="center"/>
    </xf>
    <xf numFmtId="0" fontId="49" fillId="0" borderId="0" xfId="0" applyFont="1" applyFill="1" applyBorder="1"/>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16"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vertical="center" wrapText="1"/>
    </xf>
    <xf numFmtId="10" fontId="13" fillId="0" borderId="21" xfId="0" applyNumberFormat="1" applyFont="1" applyFill="1" applyBorder="1" applyAlignment="1">
      <alignment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10" fontId="13" fillId="0" borderId="8" xfId="0" applyNumberFormat="1" applyFont="1" applyBorder="1" applyAlignment="1">
      <alignment horizontal="right" vertical="center" wrapText="1"/>
    </xf>
    <xf numFmtId="1" fontId="13" fillId="0" borderId="30" xfId="0" applyNumberFormat="1" applyFont="1" applyFill="1" applyBorder="1" applyAlignment="1">
      <alignment horizontal="right" vertical="center" wrapText="1"/>
    </xf>
    <xf numFmtId="1" fontId="13" fillId="0" borderId="31" xfId="0" applyNumberFormat="1" applyFont="1" applyFill="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6" fillId="0" borderId="5" xfId="1" applyFont="1" applyFill="1" applyBorder="1" applyAlignment="1">
      <alignment horizontal="center" vertical="center" wrapText="1"/>
    </xf>
    <xf numFmtId="0" fontId="46" fillId="0" borderId="6" xfId="1" applyFont="1" applyFill="1" applyBorder="1" applyAlignment="1">
      <alignment horizontal="center" vertical="center" wrapText="1"/>
    </xf>
    <xf numFmtId="0" fontId="48" fillId="0" borderId="11" xfId="1" applyFont="1" applyFill="1" applyBorder="1" applyAlignment="1">
      <alignment horizontal="center" vertical="center" wrapText="1"/>
    </xf>
    <xf numFmtId="0" fontId="48" fillId="0" borderId="23" xfId="1" applyFont="1" applyFill="1" applyBorder="1" applyAlignment="1">
      <alignment horizontal="center" vertical="center" wrapText="1"/>
    </xf>
    <xf numFmtId="0" fontId="48" fillId="0" borderId="41" xfId="1" applyFont="1" applyFill="1" applyBorder="1" applyAlignment="1">
      <alignment horizontal="center" vertical="center" wrapText="1"/>
    </xf>
    <xf numFmtId="0" fontId="51" fillId="0" borderId="19" xfId="1" applyFont="1" applyFill="1" applyBorder="1" applyAlignment="1">
      <alignment horizontal="center" vertical="center" wrapText="1"/>
    </xf>
    <xf numFmtId="0" fontId="51" fillId="0" borderId="26" xfId="1" applyFont="1" applyFill="1" applyBorder="1" applyAlignment="1">
      <alignment horizontal="center" vertical="center" wrapText="1"/>
    </xf>
    <xf numFmtId="0" fontId="51" fillId="0" borderId="40" xfId="1" applyFont="1" applyFill="1" applyBorder="1" applyAlignment="1">
      <alignment horizontal="center" vertical="center" wrapText="1"/>
    </xf>
    <xf numFmtId="0" fontId="46" fillId="0" borderId="13" xfId="1" applyFont="1" applyFill="1" applyBorder="1" applyAlignment="1">
      <alignment horizontal="center" vertical="center" wrapText="1"/>
    </xf>
    <xf numFmtId="0" fontId="46" fillId="0" borderId="38" xfId="1" applyFont="1" applyFill="1" applyBorder="1" applyAlignment="1">
      <alignment horizontal="center" vertical="center" wrapText="1"/>
    </xf>
    <xf numFmtId="0" fontId="46" fillId="0" borderId="39" xfId="1" applyFont="1" applyFill="1" applyBorder="1" applyAlignment="1">
      <alignment horizontal="center" vertical="center" wrapText="1"/>
    </xf>
    <xf numFmtId="0" fontId="46" fillId="0" borderId="3" xfId="1" applyFont="1" applyFill="1" applyBorder="1" applyAlignment="1">
      <alignment horizontal="center" vertical="center" wrapText="1"/>
    </xf>
    <xf numFmtId="0" fontId="46" fillId="0" borderId="4" xfId="1" applyFont="1" applyFill="1" applyBorder="1" applyAlignment="1">
      <alignment horizontal="center" vertical="center" wrapText="1"/>
    </xf>
    <xf numFmtId="0" fontId="46" fillId="0" borderId="1" xfId="1" applyFont="1" applyFill="1" applyBorder="1" applyAlignment="1">
      <alignment horizontal="center" vertical="center" wrapText="1"/>
    </xf>
    <xf numFmtId="0" fontId="46" fillId="0" borderId="7" xfId="1" applyFont="1" applyFill="1" applyBorder="1" applyAlignment="1">
      <alignment horizontal="center" vertical="center" wrapText="1"/>
    </xf>
    <xf numFmtId="0" fontId="46" fillId="0" borderId="8" xfId="1" applyFont="1" applyFill="1" applyBorder="1" applyAlignment="1">
      <alignment horizontal="center" vertical="center" wrapText="1"/>
    </xf>
    <xf numFmtId="0" fontId="44" fillId="0" borderId="33" xfId="1" applyFont="1" applyFill="1" applyBorder="1" applyAlignment="1">
      <alignment horizontal="center" vertical="center" wrapText="1"/>
    </xf>
    <xf numFmtId="0" fontId="44" fillId="0" borderId="34" xfId="1" applyFont="1" applyFill="1" applyBorder="1" applyAlignment="1">
      <alignment horizontal="center" vertical="center" wrapText="1"/>
    </xf>
    <xf numFmtId="0" fontId="44" fillId="0" borderId="35" xfId="1" applyFont="1" applyFill="1" applyBorder="1" applyAlignment="1">
      <alignment horizontal="center" vertical="center" wrapText="1"/>
    </xf>
    <xf numFmtId="0" fontId="44" fillId="0" borderId="25" xfId="1" applyFont="1" applyFill="1" applyBorder="1" applyAlignment="1">
      <alignment horizontal="center" vertical="center" wrapText="1"/>
    </xf>
    <xf numFmtId="0" fontId="44" fillId="0" borderId="26" xfId="1" applyFont="1" applyFill="1" applyBorder="1" applyAlignment="1">
      <alignment horizontal="center" vertical="center" wrapText="1"/>
    </xf>
    <xf numFmtId="0" fontId="44" fillId="0" borderId="27" xfId="1" applyFont="1" applyFill="1" applyBorder="1" applyAlignment="1">
      <alignment horizontal="center" vertical="center" wrapText="1"/>
    </xf>
    <xf numFmtId="0" fontId="84" fillId="0" borderId="55" xfId="0" applyFont="1" applyFill="1" applyBorder="1" applyAlignment="1">
      <alignment horizontal="center" vertical="center"/>
    </xf>
    <xf numFmtId="0" fontId="84" fillId="0" borderId="38" xfId="0" applyFont="1" applyFill="1" applyBorder="1" applyAlignment="1">
      <alignment horizontal="center" vertical="center"/>
    </xf>
    <xf numFmtId="0" fontId="84" fillId="0" borderId="39" xfId="0" applyFont="1" applyFill="1" applyBorder="1" applyAlignment="1">
      <alignment horizontal="center" vertical="center"/>
    </xf>
    <xf numFmtId="0" fontId="84" fillId="8" borderId="9" xfId="0" applyFont="1" applyFill="1" applyBorder="1" applyAlignment="1">
      <alignment horizontal="center" vertical="center" wrapText="1"/>
    </xf>
    <xf numFmtId="0" fontId="84" fillId="8" borderId="56" xfId="0" applyFont="1" applyFill="1" applyBorder="1" applyAlignment="1">
      <alignment horizontal="center" vertical="center" wrapText="1"/>
    </xf>
    <xf numFmtId="0" fontId="86" fillId="0" borderId="33" xfId="0" applyFont="1" applyFill="1" applyBorder="1" applyAlignment="1">
      <alignment horizontal="center" vertical="center" wrapText="1"/>
    </xf>
    <xf numFmtId="0" fontId="86" fillId="0" borderId="34" xfId="0" applyFont="1" applyFill="1" applyBorder="1" applyAlignment="1">
      <alignment horizontal="center" vertical="center" wrapText="1"/>
    </xf>
    <xf numFmtId="0" fontId="86" fillId="0" borderId="35" xfId="0" applyFont="1" applyFill="1" applyBorder="1" applyAlignment="1">
      <alignment horizontal="center" vertical="center" wrapText="1"/>
    </xf>
    <xf numFmtId="0" fontId="81" fillId="0" borderId="0" xfId="0" applyFont="1" applyFill="1" applyAlignment="1">
      <alignment horizontal="center" vertical="center"/>
    </xf>
    <xf numFmtId="0" fontId="83" fillId="0" borderId="0" xfId="0" applyFont="1" applyFill="1" applyAlignment="1">
      <alignment horizontal="center" vertical="center" wrapText="1"/>
    </xf>
    <xf numFmtId="0" fontId="84" fillId="0" borderId="4" xfId="0" applyFont="1" applyFill="1" applyBorder="1" applyAlignment="1">
      <alignment horizontal="center" vertical="center" wrapText="1"/>
    </xf>
    <xf numFmtId="0" fontId="84" fillId="0" borderId="7" xfId="0" applyFont="1" applyFill="1" applyBorder="1" applyAlignment="1">
      <alignment horizontal="center" vertical="center" wrapText="1"/>
    </xf>
    <xf numFmtId="1" fontId="85" fillId="9" borderId="1" xfId="0" applyNumberFormat="1" applyFont="1" applyFill="1" applyBorder="1" applyAlignment="1">
      <alignment horizontal="center" vertical="center" wrapText="1"/>
    </xf>
    <xf numFmtId="1" fontId="85" fillId="0" borderId="1" xfId="0" applyNumberFormat="1" applyFont="1" applyFill="1" applyBorder="1" applyAlignment="1">
      <alignment horizontal="center" vertical="center" wrapText="1"/>
    </xf>
    <xf numFmtId="1" fontId="85" fillId="0" borderId="8" xfId="0" applyNumberFormat="1" applyFont="1" applyFill="1" applyBorder="1" applyAlignment="1">
      <alignment horizontal="center" vertical="center" wrapText="1"/>
    </xf>
    <xf numFmtId="1" fontId="84" fillId="9" borderId="2" xfId="0" applyNumberFormat="1" applyFont="1" applyFill="1" applyBorder="1" applyAlignment="1">
      <alignment horizontal="center" vertical="center"/>
    </xf>
    <xf numFmtId="1" fontId="84" fillId="0" borderId="2" xfId="0" applyNumberFormat="1" applyFont="1" applyFill="1" applyBorder="1" applyAlignment="1">
      <alignment horizontal="center" vertical="center"/>
    </xf>
    <xf numFmtId="1" fontId="84" fillId="0" borderId="12" xfId="0" applyNumberFormat="1" applyFont="1" applyFill="1" applyBorder="1" applyAlignment="1">
      <alignment horizontal="center" vertical="center"/>
    </xf>
  </cellXfs>
  <cellStyles count="2515">
    <cellStyle name="??                          " xfId="5"/>
    <cellStyle name="??_kc-elec system check list" xfId="6"/>
    <cellStyle name="_% A'ity of lines of Achhalia for JAN-06" xfId="7"/>
    <cellStyle name="_% A'ity of lines of Achhalia for JAN-06_JGY BM Cross FDR" xfId="8"/>
    <cellStyle name="_(H)(7)(B)INTRP.LINE" xfId="9"/>
    <cellStyle name="_(H)(7)(B)INTRP.LINE_Activity since Feb-2008" xfId="10"/>
    <cellStyle name="_(H)(7)(B)INTRP.LINE_Activity since Feb-2008_JGY BM Cross FDR" xfId="11"/>
    <cellStyle name="_(H)(7)(B)INTRP.LINE_Book1" xfId="12"/>
    <cellStyle name="_(H)(7)(B)INTRP.LINE_Breaker timing test" xfId="13"/>
    <cellStyle name="_(H)(7)(B)INTRP.LINE_Breaker timing test_JGY BM Cross FDR" xfId="14"/>
    <cellStyle name="_(H)(7)(B)INTRP.LINE_Copy of Zone- Formate for meeting 15.7.08" xfId="15"/>
    <cellStyle name="_(H)(7)(B)INTRP.LINE_Copy of Zone- Formate for meeting 30.8.08" xfId="16"/>
    <cellStyle name="_(H)(7)(B)INTRP.LINE_Copy of Zone- Formate for meeting 30.9.08" xfId="17"/>
    <cellStyle name="_(H)(7)(B)INTRP.LINE_MD Visit - 10.9.08" xfId="18"/>
    <cellStyle name="_(H)(7)(B)INTRP.LINE_Project Meeting-8.7.08" xfId="19"/>
    <cellStyle name="_12.EA MARCH 2006 " xfId="20"/>
    <cellStyle name="_12.EA MARCH 2006 _JGY BM Cross FDR" xfId="21"/>
    <cellStyle name="_16 LOAD DATA REVIEW POINT -16" xfId="22"/>
    <cellStyle name="_16 LOAD DATA REVIEW POINT -16_JGY BM Cross FDR" xfId="23"/>
    <cellStyle name="_2008-09 augmentation" xfId="24"/>
    <cellStyle name="_2008-09 augmentation_JGY BM Cross FDR" xfId="25"/>
    <cellStyle name="_24 11 KV VCB DETAIL POINT -24" xfId="26"/>
    <cellStyle name="_24 11 KV VCB DETAIL POINT -24_JGY BM Cross FDR" xfId="27"/>
    <cellStyle name="_24A 11KV SS WISE  BREAKER POINT-24 A" xfId="28"/>
    <cellStyle name="_24A 11KV SS WISE  BREAKER POINT-24 A_JGY BM Cross FDR" xfId="29"/>
    <cellStyle name="_2nd Qtr. max. load .PRINT" xfId="30"/>
    <cellStyle name="_34  T &amp; D LOSSES POINT 34" xfId="31"/>
    <cellStyle name="_34  T &amp; D LOSSES POINT 34_JGY BM Cross FDR" xfId="32"/>
    <cellStyle name="_3RDV QTRLOAD data" xfId="33"/>
    <cellStyle name="_3RDV QTRLOAD data_Activity since Feb-2008" xfId="34"/>
    <cellStyle name="_3RDV QTRLOAD data_Activity since Feb-2008_JGY BM Cross FDR" xfId="35"/>
    <cellStyle name="_3RDV QTRLOAD data_Gondal(REC)-after S'nagar" xfId="36"/>
    <cellStyle name="_3RDV QTRLOAD data_Zone-summary" xfId="37"/>
    <cellStyle name="_3RDV QTRLOAD data_Zone-summary_JGY BM Cross FDR" xfId="38"/>
    <cellStyle name="_5.11.07" xfId="39"/>
    <cellStyle name="_5.11.07_Activity since Feb-2008" xfId="40"/>
    <cellStyle name="_5.11.07_Activity since Feb-2008_JGY BM Cross FDR" xfId="41"/>
    <cellStyle name="_5.11.07_ANNEXURE-PERFORMANCE" xfId="42"/>
    <cellStyle name="_5.11.07_ANNEXURE-PERFORMANCE_Activity since Feb-2008" xfId="43"/>
    <cellStyle name="_5.11.07_ANNEXURE-PERFORMANCE_Activity since Feb-2008_JGY BM Cross FDR" xfId="44"/>
    <cellStyle name="_5.11.07_Book1" xfId="45"/>
    <cellStyle name="_5.11.07_Book3" xfId="46"/>
    <cellStyle name="_5.11.07_lines coverd in R &amp; M for 2007-08 and 2008-09" xfId="47"/>
    <cellStyle name="_5.11.07_lines coverd in R &amp; M for 2007-08 and 2008-09_JGY BM Cross FDR" xfId="48"/>
    <cellStyle name="_5.11.07_Zone-summary" xfId="49"/>
    <cellStyle name="_5.11.07_Zone-summary_JGY BM Cross FDR" xfId="50"/>
    <cellStyle name="_66 132kv Interruption" xfId="51"/>
    <cellStyle name="_66 132kv Interruption_JGY BM Cross FDR" xfId="52"/>
    <cellStyle name="_8.2 and 8.1" xfId="53"/>
    <cellStyle name="_8.2 and 8.1_JGY BM Cross FDR" xfId="54"/>
    <cellStyle name="_Accd Dec - PAR" xfId="55"/>
    <cellStyle name="_Accd Dec - PAR_JGY BM Cross FDR" xfId="56"/>
    <cellStyle name="_Accd upto respective Month" xfId="57"/>
    <cellStyle name="_Accd upto respective Month_JGY BM Cross FDR" xfId="58"/>
    <cellStyle name="_All April - 07" xfId="59"/>
    <cellStyle name="_All April - 07_JGY BM Cross FDR" xfId="60"/>
    <cellStyle name="_All Feb.-07" xfId="61"/>
    <cellStyle name="_All Feb.-07_JGY BM Cross FDR" xfId="62"/>
    <cellStyle name="_All Jan.-07" xfId="63"/>
    <cellStyle name="_All Jan.-07_JGY BM Cross FDR" xfId="64"/>
    <cellStyle name="_All July - 07" xfId="65"/>
    <cellStyle name="_All July - 07_JGY BM Cross FDR" xfId="66"/>
    <cellStyle name="_All June - 07" xfId="67"/>
    <cellStyle name="_All June - 07_JGY BM Cross FDR" xfId="68"/>
    <cellStyle name="_All March-07" xfId="69"/>
    <cellStyle name="_All March-07_JGY BM Cross FDR" xfId="70"/>
    <cellStyle name="_All May - 07" xfId="71"/>
    <cellStyle name="_All May - 07_JGY BM Cross FDR" xfId="72"/>
    <cellStyle name="_All Nov.-06" xfId="73"/>
    <cellStyle name="_All Nov.-06_JGY BM Cross FDR" xfId="74"/>
    <cellStyle name="_All Oct - 07" xfId="75"/>
    <cellStyle name="_All Oct - 07_JGY BM Cross FDR" xfId="76"/>
    <cellStyle name="_All Sept - 07" xfId="77"/>
    <cellStyle name="_All Sept - 07_JGY BM Cross FDR" xfId="78"/>
    <cellStyle name="_AMR" xfId="79"/>
    <cellStyle name="_AMR_Gondal(REC)-after S'nagar" xfId="80"/>
    <cellStyle name="_AMR_JGY BM Cross FDR" xfId="81"/>
    <cellStyle name="_ANJ" xfId="82"/>
    <cellStyle name="_ANJ_Gondal(REC)-after S'nagar" xfId="83"/>
    <cellStyle name="_ANJ_JGY BM Cross FDR" xfId="84"/>
    <cellStyle name="_ANNEXURE-PERFORMANCE" xfId="85"/>
    <cellStyle name="_ANNEXURE-PERFORMANCE_JGY BM Cross FDR" xfId="86"/>
    <cellStyle name="_APFC Detail ON 25.01.08" xfId="87"/>
    <cellStyle name="_APFC Detail ON 25.01.08_JGY BM Cross FDR" xfId="88"/>
    <cellStyle name="_APFC FEEDBACK REPORT1" xfId="89"/>
    <cellStyle name="_APFC FEEDBACK REPORT1_JGY BM Cross FDR" xfId="90"/>
    <cellStyle name="_APFC PERFORMANCE - 21.01.08 PBR" xfId="91"/>
    <cellStyle name="_APFC PERFORMANCE - 21.01.08 PBR_JGY BM Cross FDR" xfId="92"/>
    <cellStyle name="_April-07" xfId="93"/>
    <cellStyle name="_April-07_JGY BM Cross FDR" xfId="94"/>
    <cellStyle name="_As on 05.11.06" xfId="95"/>
    <cellStyle name="_As on 05.11.06_Activity since Feb-2008" xfId="96"/>
    <cellStyle name="_As on 05.11.06_Activity since Feb-2008_JGY BM Cross FDR" xfId="97"/>
    <cellStyle name="_As on 05.11.06_Book1" xfId="98"/>
    <cellStyle name="_As on 05.11.06_Breaker timing test" xfId="99"/>
    <cellStyle name="_As on 05.11.06_Breaker timing test_JGY BM Cross FDR" xfId="100"/>
    <cellStyle name="_As on 05.11.06_Copy of Zone- Formate for meeting 15.7.08" xfId="101"/>
    <cellStyle name="_As on 05.11.06_Copy of Zone- Formate for meeting 30.8.08" xfId="102"/>
    <cellStyle name="_As on 05.11.06_Copy of Zone- Formate for meeting 30.9.08" xfId="103"/>
    <cellStyle name="_As on 05.11.06_EC - Zone with reason" xfId="104"/>
    <cellStyle name="_As on 05.11.06_Gondal(REC)-after S'nagar" xfId="105"/>
    <cellStyle name="_As on 05.11.06_MD Visit - 10.9.08" xfId="106"/>
    <cellStyle name="_As on 05.11.06_Project Meeting-8.7.08" xfId="107"/>
    <cellStyle name="_augmentation 2007-08" xfId="108"/>
    <cellStyle name="_augmentation 2007-08_JGY BM Cross FDR" xfId="109"/>
    <cellStyle name="_Augmentation 2008-09" xfId="110"/>
    <cellStyle name="_Augmentation 2008-09_Activity since Feb-2008" xfId="111"/>
    <cellStyle name="_Augmentation 2008-09_Activity since Feb-2008_JGY BM Cross FDR" xfId="112"/>
    <cellStyle name="_Augmentation 2008-09_Zone-summary" xfId="113"/>
    <cellStyle name="_Augmentation 2008-09_Zone-summary_JGY BM Cross FDR" xfId="114"/>
    <cellStyle name="_Aux.cons" xfId="115"/>
    <cellStyle name="_Aux.cons_cum-JUL09" xfId="116"/>
    <cellStyle name="_Aux.cons_cum-JUN09" xfId="117"/>
    <cellStyle name="_Aux.cons_cum-NOV09" xfId="118"/>
    <cellStyle name="_Aux.cons_cum-OCT09" xfId="119"/>
    <cellStyle name="_Aux.cons_cum-SEP09" xfId="120"/>
    <cellStyle name="_Aux.cons_Format mat req 08-09" xfId="121"/>
    <cellStyle name="_Aux.cons_LOSS DATA NOV-09" xfId="122"/>
    <cellStyle name="_Aux.cons_loss projection" xfId="123"/>
    <cellStyle name="_Aux.cons_se conf tnd compr" xfId="124"/>
    <cellStyle name="_Availability Aug.-07" xfId="125"/>
    <cellStyle name="_Availability Aug.-07_JGY BM Cross FDR" xfId="126"/>
    <cellStyle name="_Availability Jan.-08" xfId="127"/>
    <cellStyle name="_Availability Jan.-08_JGY BM Cross FDR" xfId="128"/>
    <cellStyle name="_Availability July-07" xfId="129"/>
    <cellStyle name="_Availability July-07_JGY BM Cross FDR" xfId="130"/>
    <cellStyle name="_Availability Oct.-07" xfId="131"/>
    <cellStyle name="_Availability Oct.-07_JGY BM Cross FDR" xfId="132"/>
    <cellStyle name="_Availability Sept.-07" xfId="133"/>
    <cellStyle name="_Availability Sept.-07_JGY BM Cross FDR" xfId="134"/>
    <cellStyle name="_Bharuch April-06_T_D" xfId="135"/>
    <cellStyle name="_Bharuch April-06_T_D_JGY BM Cross FDR" xfId="136"/>
    <cellStyle name="_BharuchMarch-06_T_D" xfId="137"/>
    <cellStyle name="_BharuchMarch-06_T_D_JGY BM Cross FDR" xfId="138"/>
    <cellStyle name="_Breaker timing test" xfId="139"/>
    <cellStyle name="_Breaker timing test_JGY BM Cross FDR" xfId="140"/>
    <cellStyle name="_BRH" xfId="141"/>
    <cellStyle name="_BRH_JGY BM Cross FDR" xfId="142"/>
    <cellStyle name="_Cause Analyses as per Inv. Report" xfId="143"/>
    <cellStyle name="_Cent.Sect" xfId="144"/>
    <cellStyle name="_Cent.Sect_cum-JUL09" xfId="145"/>
    <cellStyle name="_Cent.Sect_cum-JUN09" xfId="146"/>
    <cellStyle name="_Cent.Sect_cum-NOV09" xfId="147"/>
    <cellStyle name="_Cent.Sect_cum-OCT09" xfId="148"/>
    <cellStyle name="_Cent.Sect_cum-SEP09" xfId="149"/>
    <cellStyle name="_Cent.Sect_Format mat req 08-09" xfId="150"/>
    <cellStyle name="_Cent.Sect_LOSS DATA NOV-09" xfId="151"/>
    <cellStyle name="_Cent.Sect_loss projection" xfId="152"/>
    <cellStyle name="_Cent.Sect_se conf tnd compr" xfId="153"/>
    <cellStyle name="_Circle as a whole T&amp;D losses  April-05 to Feb-06" xfId="154"/>
    <cellStyle name="_Circle as a whole T&amp;D losses  April-05 to Feb-06_JGY BM Cross FDR" xfId="155"/>
    <cellStyle name="_CIRCLE FINAL R&amp;M SUMMARY (Brh, Meh, GDLZone)" xfId="156"/>
    <cellStyle name="_CIRCLE FINAL R&amp;M SUMMARY (Brh, Meh, GDLZone)_JGY BM Cross FDR" xfId="157"/>
    <cellStyle name="_CO MAX MVA 2007-08 1,2,3,4 QTR" xfId="158"/>
    <cellStyle name="_CO MAX MVA 2007-08 1,2,3,4 QTR_JGY BM Cross FDR" xfId="159"/>
    <cellStyle name="_CO MAX MVA 2007-08 III QTR" xfId="160"/>
    <cellStyle name="_CO MAX MVA 2007-08 III QTR_JGY BM Cross FDR" xfId="161"/>
    <cellStyle name="_CO SUBMISSION" xfId="162"/>
    <cellStyle name="_CO SUBMISSION_JGY BM Cross FDR" xfId="163"/>
    <cellStyle name="_COSTAL LINES" xfId="164"/>
    <cellStyle name="_Costal lines_5.11.07" xfId="165"/>
    <cellStyle name="_Costal lines_5.11.07_Activity since Feb-2008" xfId="166"/>
    <cellStyle name="_Costal lines_5.11.07_Activity since Feb-2008_JGY BM Cross FDR" xfId="167"/>
    <cellStyle name="_Costal lines_5.11.07_Book1" xfId="168"/>
    <cellStyle name="_Costal lines_5.11.07_Copy of Zone- Formate for meeting 15.7.08" xfId="169"/>
    <cellStyle name="_Costal lines_5.11.07_Copy of Zone- Formate for meeting 30.8.08" xfId="170"/>
    <cellStyle name="_Costal lines_5.11.07_Copy of Zone- Formate for meeting 30.9.08" xfId="171"/>
    <cellStyle name="_Costal lines_5.11.07_Gondal Zone Dtd.23.6.08" xfId="172"/>
    <cellStyle name="_Costal lines_5.11.07_Gondal Zone Dtd.23.6.08_JGY BM Cross FDR" xfId="173"/>
    <cellStyle name="_Costal lines_5.11.07_lines coverd in R &amp; M for 2007-08 and 2008-09" xfId="174"/>
    <cellStyle name="_Costal lines_5.11.07_lines coverd in R &amp; M for 2007-08 and 2008-09_JGY BM Cross FDR" xfId="175"/>
    <cellStyle name="_Costal lines_5.11.07_MD Visit - 10.9.08" xfId="176"/>
    <cellStyle name="_Costal lines_5.11.07_Project Meeting-8.7.08" xfId="177"/>
    <cellStyle name="_Costal lines_5.11.07_Zone-summary" xfId="178"/>
    <cellStyle name="_Costal lines_5.11.07_Zone-summary_JGY BM Cross FDR" xfId="179"/>
    <cellStyle name="_COSTAL LINES_ANNEXURE-PERFORMANCE" xfId="180"/>
    <cellStyle name="_COSTAL LINES_ANNEXURE-PERFORMANCE_Activity since Feb-2008" xfId="181"/>
    <cellStyle name="_COSTAL LINES_ANNEXURE-PERFORMANCE_Activity since Feb-2008_JGY BM Cross FDR" xfId="182"/>
    <cellStyle name="_COSTAL LINES_Book1" xfId="183"/>
    <cellStyle name="_COSTAL LINES_Book3" xfId="184"/>
    <cellStyle name="_Costal lines_costal progress 1.2.08" xfId="185"/>
    <cellStyle name="_Costal lines_costal progress 1.2.08_JGY BM Cross FDR" xfId="186"/>
    <cellStyle name="_Costal lines_Gondal progrss report 12.5.08" xfId="187"/>
    <cellStyle name="_Costal lines_Gondal progrss report 12.5.08_JGY BM Cross FDR" xfId="188"/>
    <cellStyle name="_Costal lines_GONDAL ZONE" xfId="189"/>
    <cellStyle name="_Costal lines_Gondal Zone Bar Chart Coastal Area" xfId="190"/>
    <cellStyle name="_Costal lines_Gondal Zone Bar Chart Coastal Area_Activity since Feb-2008" xfId="191"/>
    <cellStyle name="_Costal lines_Gondal Zone Bar Chart Coastal Area_Activity since Feb-2008_JGY BM Cross FDR" xfId="192"/>
    <cellStyle name="_Costal lines_Gondal Zone Bar Chart Coastal Area_Monthly progress of ss &amp; line Jun-08" xfId="193"/>
    <cellStyle name="_Costal lines_Gondal Zone Bar Chart Coastal Area_Monthly progress of ss &amp; line Jun-08_JGY BM Cross FDR" xfId="194"/>
    <cellStyle name="_Costal lines_Gondal Zone Bar Chart Coastal Area_Zonal Gondal-R&amp;M MIS Jan(1).-08" xfId="195"/>
    <cellStyle name="_Costal lines_Gondal Zone Bar Chart Coastal Area_Zonal Gondal-R&amp;M MIS Jan(1).-08_Activity since Feb-2008" xfId="196"/>
    <cellStyle name="_Costal lines_Gondal Zone Bar Chart Coastal Area_Zonal Gondal-R&amp;M MIS Jan(1).-08_Activity since Feb-2008_JGY BM Cross FDR" xfId="197"/>
    <cellStyle name="_Costal lines_Gondal Zone Bar Chart Coastal Area_Zonal Gondal-R&amp;M MIS Jan(1).-08_Book1" xfId="198"/>
    <cellStyle name="_Costal lines_Gondal Zone Bar Chart Coastal Area_Zonal Gondal-R&amp;M MIS Jan(1).-08_Copy of Zone- Formate for meeting 15.7.08" xfId="199"/>
    <cellStyle name="_Costal lines_Gondal Zone Bar Chart Coastal Area_Zonal Gondal-R&amp;M MIS Jan(1).-08_Copy of Zone- Formate for meeting 30.8.08" xfId="200"/>
    <cellStyle name="_Costal lines_Gondal Zone Bar Chart Coastal Area_Zonal Gondal-R&amp;M MIS Jan(1).-08_Copy of Zone- Formate for meeting 30.9.08" xfId="201"/>
    <cellStyle name="_Costal lines_Gondal Zone Bar Chart Coastal Area_Zonal Gondal-R&amp;M MIS Jan(1).-08_MD Visit - 10.9.08" xfId="202"/>
    <cellStyle name="_Costal lines_Gondal Zone Bar Chart Coastal Area_Zonal Gondal-R&amp;M MIS Jan(1).-08_Project Meeting-8.7.08" xfId="203"/>
    <cellStyle name="_Costal lines_Gondal Zone Bar Chart Coastal Area_Zone- Formate for meeting 14.6.08" xfId="204"/>
    <cellStyle name="_Costal lines_Gondal Zone Bar Chart Coastal Area_Zone- Formate for meeting 14.6.08_JGY BM Cross FDR" xfId="205"/>
    <cellStyle name="_Costal lines_GONDAL ZONE_JGY BM Cross FDR" xfId="206"/>
    <cellStyle name="_Costal lines_Gondal zone-Details of coastal Area Lines" xfId="207"/>
    <cellStyle name="_Costal lines_Gondal zone-Details of coastal Area Lines_Activity since Feb-2008" xfId="208"/>
    <cellStyle name="_Costal lines_Gondal zone-Details of coastal Area Lines_Activity since Feb-2008_JGY BM Cross FDR" xfId="209"/>
    <cellStyle name="_Costal lines_Gondal zone-Details of coastal Area Lines_Monthly progress of ss &amp; line Jun-08" xfId="210"/>
    <cellStyle name="_Costal lines_Gondal zone-Details of coastal Area Lines_Monthly progress of ss &amp; line Jun-08_JGY BM Cross FDR" xfId="211"/>
    <cellStyle name="_Costal lines_Gondal zone-Details of coastal Area Lines_Zonal Gondal-R&amp;M MIS Jan(1).-08" xfId="212"/>
    <cellStyle name="_Costal lines_Gondal zone-Details of coastal Area Lines_Zonal Gondal-R&amp;M MIS Jan(1).-08_Activity since Feb-2008" xfId="213"/>
    <cellStyle name="_Costal lines_Gondal zone-Details of coastal Area Lines_Zonal Gondal-R&amp;M MIS Jan(1).-08_Activity since Feb-2008_JGY BM Cross FDR" xfId="214"/>
    <cellStyle name="_Costal lines_Gondal zone-Details of coastal Area Lines_Zonal Gondal-R&amp;M MIS Jan(1).-08_Book1" xfId="215"/>
    <cellStyle name="_Costal lines_Gondal zone-Details of coastal Area Lines_Zonal Gondal-R&amp;M MIS Jan(1).-08_Copy of Zone- Formate for meeting 15.7.08" xfId="216"/>
    <cellStyle name="_Costal lines_Gondal zone-Details of coastal Area Lines_Zonal Gondal-R&amp;M MIS Jan(1).-08_Copy of Zone- Formate for meeting 30.8.08" xfId="217"/>
    <cellStyle name="_Costal lines_Gondal zone-Details of coastal Area Lines_Zonal Gondal-R&amp;M MIS Jan(1).-08_Copy of Zone- Formate for meeting 30.9.08" xfId="218"/>
    <cellStyle name="_Costal lines_Gondal zone-Details of coastal Area Lines_Zonal Gondal-R&amp;M MIS Jan(1).-08_MD Visit - 10.9.08" xfId="219"/>
    <cellStyle name="_Costal lines_Gondal zone-Details of coastal Area Lines_Zonal Gondal-R&amp;M MIS Jan(1).-08_Project Meeting-8.7.08" xfId="220"/>
    <cellStyle name="_Costal lines_Gondal zone-Details of coastal Area Lines_Zone- Formate for meeting 14.6.08" xfId="221"/>
    <cellStyle name="_Costal lines_Gondal zone-Details of coastal Area Lines_Zone- Formate for meeting 14.6.08_JGY BM Cross FDR" xfId="222"/>
    <cellStyle name="_COSTAL LINES_JGY BM Cross FDR" xfId="223"/>
    <cellStyle name="_Costal lines_progress" xfId="224"/>
    <cellStyle name="_Costal lines_progress_Activity since Feb-2008" xfId="225"/>
    <cellStyle name="_Costal lines_progress_Activity since Feb-2008_JGY BM Cross FDR" xfId="226"/>
    <cellStyle name="_Costal lines_progress_Book1" xfId="227"/>
    <cellStyle name="_Costal lines_progress_Copy of Zone- Formate for meeting 15.7.08" xfId="228"/>
    <cellStyle name="_Costal lines_progress_Copy of Zone- Formate for meeting 30.8.08" xfId="229"/>
    <cellStyle name="_Costal lines_progress_Copy of Zone- Formate for meeting 30.9.08" xfId="230"/>
    <cellStyle name="_Costal lines_progress_Gondal Zone Dtd.23.6.08" xfId="231"/>
    <cellStyle name="_Costal lines_progress_Gondal Zone Dtd.23.6.08_JGY BM Cross FDR" xfId="232"/>
    <cellStyle name="_Costal lines_progress_lines coverd in R &amp; M for 2007-08 and 2008-09" xfId="233"/>
    <cellStyle name="_Costal lines_progress_lines coverd in R &amp; M for 2007-08 and 2008-09_JGY BM Cross FDR" xfId="234"/>
    <cellStyle name="_Costal lines_progress_MD Visit - 10.9.08" xfId="235"/>
    <cellStyle name="_Costal lines_progress_Project Meeting-8.7.08" xfId="236"/>
    <cellStyle name="_Costal lines_Pt.3(Costal)" xfId="237"/>
    <cellStyle name="_Costal lines_Pt.3(Costal)_Activity since Feb-2008" xfId="238"/>
    <cellStyle name="_Costal lines_Pt.3(Costal)_Activity since Feb-2008_JGY BM Cross FDR" xfId="239"/>
    <cellStyle name="_Costal lines_Pt.3(Costal)_Book1" xfId="240"/>
    <cellStyle name="_Costal lines_Pt.3(Costal)_Copy of Zone- Formate for meeting 15.7.08" xfId="241"/>
    <cellStyle name="_Costal lines_Pt.3(Costal)_Copy of Zone- Formate for meeting 30.8.08" xfId="242"/>
    <cellStyle name="_Costal lines_Pt.3(Costal)_Copy of Zone- Formate for meeting 30.9.08" xfId="243"/>
    <cellStyle name="_Costal lines_Pt.3(Costal)_Gondal Zone Dtd.23.6.08" xfId="244"/>
    <cellStyle name="_Costal lines_Pt.3(Costal)_Gondal Zone Dtd.23.6.08_JGY BM Cross FDR" xfId="245"/>
    <cellStyle name="_Costal lines_Pt.3(Costal)_lines coverd in R &amp; M for 2007-08 and 2008-09" xfId="246"/>
    <cellStyle name="_Costal lines_Pt.3(Costal)_lines coverd in R &amp; M for 2007-08 and 2008-09_JGY BM Cross FDR" xfId="247"/>
    <cellStyle name="_Costal lines_Pt.3(Costal)_MD Visit - 10.9.08" xfId="248"/>
    <cellStyle name="_Costal lines_Pt.3(Costal)_Project Meeting-8.7.08" xfId="249"/>
    <cellStyle name="_Costal lines_Pt.3(Costal)_Zone-summary" xfId="250"/>
    <cellStyle name="_Costal lines_Pt.3(Costal)_Zone-summary_JGY BM Cross FDR" xfId="251"/>
    <cellStyle name="_Costal lines_work progress sheet" xfId="252"/>
    <cellStyle name="_Costal lines_work progress sheet_JGY BM Cross FDR" xfId="253"/>
    <cellStyle name="_COSTAL LINES_Zone-summary" xfId="254"/>
    <cellStyle name="_COSTAL LINES_Zone-summary_JGY BM Cross FDR" xfId="255"/>
    <cellStyle name="_costal progress 1.2.08" xfId="256"/>
    <cellStyle name="_costal progress 1.2.08_JGY BM Cross FDR" xfId="257"/>
    <cellStyle name="_DEESA 5 PF JAN-08" xfId="258"/>
    <cellStyle name="_DEESA 5 PF JAN-08_JGY BM Cross FDR" xfId="259"/>
    <cellStyle name="_DGVCL" xfId="260"/>
    <cellStyle name="_DGVCL_cum-JUL09" xfId="261"/>
    <cellStyle name="_DGVCL_cum-JUN09" xfId="262"/>
    <cellStyle name="_DGVCL_cum-NOV09" xfId="263"/>
    <cellStyle name="_DGVCL_cum-OCT09" xfId="264"/>
    <cellStyle name="_DGVCL_cum-SEP09" xfId="265"/>
    <cellStyle name="_DGVCL_Format mat req 08-09" xfId="266"/>
    <cellStyle name="_DGVCL_LOSS DATA NOV-09" xfId="267"/>
    <cellStyle name="_DGVCL_loss projection" xfId="268"/>
    <cellStyle name="_DGVCL_se conf tnd compr" xfId="269"/>
    <cellStyle name="_Div wise Coastal" xfId="270"/>
    <cellStyle name="_EBC Format Nadiad" xfId="271"/>
    <cellStyle name="_EBC Format Nadiad_AMR" xfId="272"/>
    <cellStyle name="_EBC Format Nadiad_cum-JUL09" xfId="273"/>
    <cellStyle name="_EBC Format Nadiad_cum-JUN09" xfId="274"/>
    <cellStyle name="_EBC Format Nadiad_cum-NOV09" xfId="275"/>
    <cellStyle name="_EBC Format Nadiad_cum-OCT09" xfId="276"/>
    <cellStyle name="_EBC Format Nadiad_cum-SEP09" xfId="277"/>
    <cellStyle name="_EBC Format Nadiad_LOSS DATA NOV-09" xfId="278"/>
    <cellStyle name="_EBC Format Nadiad_loss projection" xfId="279"/>
    <cellStyle name="_EBC Format Nadiad_se conf tnd compr" xfId="280"/>
    <cellStyle name="_EBC Format Nadiad_T&amp;D April--09" xfId="281"/>
    <cellStyle name="_EBC Format Nov05" xfId="282"/>
    <cellStyle name="_EBC Format Nov05_Accd MOSE 04.08.09" xfId="283"/>
    <cellStyle name="_EBC Format Nov05_ag wkly" xfId="284"/>
    <cellStyle name="_EBC Format Nov05_categorywise comp" xfId="285"/>
    <cellStyle name="_EBC Format Nov05_cum-JUL09" xfId="286"/>
    <cellStyle name="_EBC Format Nov05_cum-JUN09" xfId="287"/>
    <cellStyle name="_EBC Format Nov05_cum-NOV09" xfId="288"/>
    <cellStyle name="_EBC Format Nov05_cum-OCT09" xfId="289"/>
    <cellStyle name="_EBC Format Nov05_cum-SEP09" xfId="290"/>
    <cellStyle name="_EBC Format Nov05_Format mat req 08-09" xfId="291"/>
    <cellStyle name="_EBC Format Nov05_JGY BM Cross FDR" xfId="292"/>
    <cellStyle name="_EBC Format Nov05_JGY loss comp ph-1-2-3 jul-09" xfId="293"/>
    <cellStyle name="_EBC Format Nov05_loss comparision jul-09" xfId="294"/>
    <cellStyle name="_EBC Format Nov05_LOSS DATA NOV-09" xfId="295"/>
    <cellStyle name="_EBC Format Nov05_loss projection" xfId="296"/>
    <cellStyle name="_EBC Format Nov05_meeting   16.09.09" xfId="297"/>
    <cellStyle name="_EBC Format Nov05_mose part 1   (point 1-10)" xfId="298"/>
    <cellStyle name="_EBC Format Nov05_mose point-3 JGY" xfId="299"/>
    <cellStyle name="_EBC Format Nov05_mose point-3 JGY jun-09" xfId="300"/>
    <cellStyle name="_EBC Format Nov05_Point 8. Material Requirement" xfId="301"/>
    <cellStyle name="_EBC Format Nov05_point 9. Price Variation" xfId="302"/>
    <cellStyle name="_EBC Format Nov05_SE Conf 30-07  part-1 main" xfId="303"/>
    <cellStyle name="_EBC Format Nov05_se conf tnd compr" xfId="304"/>
    <cellStyle name="_EBC Format Nov05_seconf 27.08.09" xfId="305"/>
    <cellStyle name="_EBC Format Nov05_Soft Copy of Tech-2" xfId="306"/>
    <cellStyle name="_EBC Format(interface) nadiad dt.28-12-04" xfId="307"/>
    <cellStyle name="_EBC Format(interface) nadiad dt.28-12-04_AMR" xfId="308"/>
    <cellStyle name="_EBC Format(interface) nadiad dt.28-12-04_cum-JUL09" xfId="309"/>
    <cellStyle name="_EBC Format(interface) nadiad dt.28-12-04_cum-JUN09" xfId="310"/>
    <cellStyle name="_EBC Format(interface) nadiad dt.28-12-04_cum-NOV09" xfId="311"/>
    <cellStyle name="_EBC Format(interface) nadiad dt.28-12-04_cum-OCT09" xfId="312"/>
    <cellStyle name="_EBC Format(interface) nadiad dt.28-12-04_cum-SEP09" xfId="313"/>
    <cellStyle name="_EBC Format(interface) nadiad dt.28-12-04_LOSS DATA NOV-09" xfId="314"/>
    <cellStyle name="_EBC Format(interface) nadiad dt.28-12-04_loss projection" xfId="315"/>
    <cellStyle name="_EBC Format(interface) nadiad dt.28-12-04_se conf tnd compr" xfId="316"/>
    <cellStyle name="_EBC Format(interface) nadiad dt.28-12-04_T&amp;D April--09" xfId="317"/>
    <cellStyle name="_EC - Zone with reason" xfId="318"/>
    <cellStyle name="_EC - Zone with reason_JGY BM Cross FDR" xfId="319"/>
    <cellStyle name="_E-URJA DETAILS - AS ON 6.2.08" xfId="320"/>
    <cellStyle name="_E-URJA DETAILS - AS ON 6.2.08_% avalability" xfId="321"/>
    <cellStyle name="_E-URJA DETAILS - AS ON 6.2.08_% avalability_Activity since Feb-2008" xfId="322"/>
    <cellStyle name="_E-URJA DETAILS - AS ON 6.2.08_% avalability_Activity since Feb-2008_JGY BM Cross FDR" xfId="323"/>
    <cellStyle name="_E-URJA DETAILS - AS ON 6.2.08_% avalability_Book1" xfId="324"/>
    <cellStyle name="_E-URJA DETAILS - AS ON 6.2.08_% avalability_Book1_1" xfId="325"/>
    <cellStyle name="_E-URJA DETAILS - AS ON 6.2.08_% avalability_Book1_Book1" xfId="326"/>
    <cellStyle name="_E-URJA DETAILS - AS ON 6.2.08_% avalability_Book1_Copy of Zone- Formate for meeting 15.7.08" xfId="327"/>
    <cellStyle name="_E-URJA DETAILS - AS ON 6.2.08_% avalability_Book1_Copy of Zone- Formate for meeting 30.8.08" xfId="328"/>
    <cellStyle name="_E-URJA DETAILS - AS ON 6.2.08_% avalability_Book1_Copy of Zone- Formate for meeting 30.9.08" xfId="329"/>
    <cellStyle name="_E-URJA DETAILS - AS ON 6.2.08_% avalability_Book1_MD Visit - 10.9.08" xfId="330"/>
    <cellStyle name="_E-URJA DETAILS - AS ON 6.2.08_% avalability_Book1_Project Meeting-8.7.08" xfId="331"/>
    <cellStyle name="_E-URJA DETAILS - AS ON 6.2.08_% avalability_Book3" xfId="332"/>
    <cellStyle name="_E-URJA DETAILS - AS ON 6.2.08_% avalability_Book3_Book1" xfId="333"/>
    <cellStyle name="_E-URJA DETAILS - AS ON 6.2.08_% avalability_Book3_Copy of Zone- Formate for meeting 15.7.08" xfId="334"/>
    <cellStyle name="_E-URJA DETAILS - AS ON 6.2.08_% avalability_Book3_Copy of Zone- Formate for meeting 30.8.08" xfId="335"/>
    <cellStyle name="_E-URJA DETAILS - AS ON 6.2.08_% avalability_Book3_Copy of Zone- Formate for meeting 30.9.08" xfId="336"/>
    <cellStyle name="_E-URJA DETAILS - AS ON 6.2.08_% avalability_Book3_MD Visit - 10.9.08" xfId="337"/>
    <cellStyle name="_E-URJA DETAILS - AS ON 6.2.08_% avalability_Book3_Project Meeting-8.7.08" xfId="338"/>
    <cellStyle name="_E-URJA DETAILS - AS ON 6.2.08_% avalability_Copy of Zone- Formate for meeting 15.7.08" xfId="339"/>
    <cellStyle name="_E-URJA DETAILS - AS ON 6.2.08_% avalability_Copy of Zone- Formate for meeting 30.8.08" xfId="340"/>
    <cellStyle name="_E-URJA DETAILS - AS ON 6.2.08_% avalability_Copy of Zone- Formate for meeting 30.9.08" xfId="341"/>
    <cellStyle name="_E-URJA DETAILS - AS ON 6.2.08_% avalability_MD Visit - 10.9.08" xfId="342"/>
    <cellStyle name="_E-URJA DETAILS - AS ON 6.2.08_% avalability_Project Meeting-8.7.08" xfId="343"/>
    <cellStyle name="_E-URJA DETAILS - AS ON 6.2.08_Activity since Feb-2008" xfId="344"/>
    <cellStyle name="_E-URJA DETAILS - AS ON 6.2.08_Activity since Feb-2008_JGY BM Cross FDR" xfId="345"/>
    <cellStyle name="_E-URJA DETAILS - AS ON 6.2.08_Monthly progress of ss &amp; line Jun-08" xfId="346"/>
    <cellStyle name="_E-URJA DETAILS - AS ON 6.2.08_Monthly progress of ss &amp; line Jun-08_JGY BM Cross FDR" xfId="347"/>
    <cellStyle name="_E-URJA DETAILS - AS ON 6.2.08_Progress on going work" xfId="348"/>
    <cellStyle name="_E-URJA DETAILS - AS ON 6.2.08_Progress on going work_Activity since Feb-2008" xfId="349"/>
    <cellStyle name="_E-URJA DETAILS - AS ON 6.2.08_Progress on going work_Activity since Feb-2008_JGY BM Cross FDR" xfId="350"/>
    <cellStyle name="_E-URJA DETAILS - AS ON 6.2.08_Progress on going work_Monthly progress of ss &amp; line Jun-08" xfId="351"/>
    <cellStyle name="_E-URJA DETAILS - AS ON 6.2.08_Progress on going work_Monthly progress of ss &amp; line Jun-08_JGY BM Cross FDR" xfId="352"/>
    <cellStyle name="_E-URJA DETAILS - AS ON 6.2.08_Progress on going work_Zone- Formate for meeting 14.6.08" xfId="353"/>
    <cellStyle name="_E-URJA DETAILS - AS ON 6.2.08_Progress on going work_Zone- Formate for meeting 14.6.08_JGY BM Cross FDR" xfId="354"/>
    <cellStyle name="_E-URJA DETAILS - AS ON 6.2.08_Zone- Formate for meeting 14.6.08" xfId="355"/>
    <cellStyle name="_E-URJA DETAILS - AS ON 6.2.08_Zone- Formate for meeting 14.6.08_JGY BM Cross FDR" xfId="356"/>
    <cellStyle name="_Failure of Jumper" xfId="357"/>
    <cellStyle name="_Failure of Jumper_JGY BM Cross FDR" xfId="358"/>
    <cellStyle name="_Feb.-07" xfId="359"/>
    <cellStyle name="_Feb.-07_JGY BM Cross FDR" xfId="360"/>
    <cellStyle name="_Final PGVCL Annexure-A" xfId="361"/>
    <cellStyle name="_Final PGVCL Annexure-A_JGY BM Cross FDR" xfId="362"/>
    <cellStyle name="_formate for line inspection by EE" xfId="363"/>
    <cellStyle name="_formate for line inspection by EE_JGY BM Cross FDR" xfId="364"/>
    <cellStyle name="_GDL" xfId="365"/>
    <cellStyle name="_GDL_Gondal(REC)-after S'nagar" xfId="366"/>
    <cellStyle name="_GDL_JGY BM Cross FDR" xfId="367"/>
    <cellStyle name="_Gen.Details" xfId="368"/>
    <cellStyle name="_Gen.Details_cum-JUL09" xfId="369"/>
    <cellStyle name="_Gen.Details_cum-JUN09" xfId="370"/>
    <cellStyle name="_Gen.Details_cum-NOV09" xfId="371"/>
    <cellStyle name="_Gen.Details_cum-OCT09" xfId="372"/>
    <cellStyle name="_Gen.Details_cum-SEP09" xfId="373"/>
    <cellStyle name="_Gen.Details_Format mat req 08-09" xfId="374"/>
    <cellStyle name="_Gen.Details_LOSS DATA NOV-09" xfId="375"/>
    <cellStyle name="_Gen.Details_loss projection" xfId="376"/>
    <cellStyle name="_Gen.Details_se conf tnd compr" xfId="377"/>
    <cellStyle name="_GencoMonthlyImport " xfId="378"/>
    <cellStyle name="_GencoMonthlyImport _AMR" xfId="379"/>
    <cellStyle name="_GencoMonthlyImport _cum-JUL09" xfId="380"/>
    <cellStyle name="_GencoMonthlyImport _cum-JUN09" xfId="381"/>
    <cellStyle name="_GencoMonthlyImport _cum-NOV09" xfId="382"/>
    <cellStyle name="_GencoMonthlyImport _cum-OCT09" xfId="383"/>
    <cellStyle name="_GencoMonthlyImport _cum-SEP09" xfId="384"/>
    <cellStyle name="_GencoMonthlyImport _LOSS DATA NOV-09" xfId="385"/>
    <cellStyle name="_GencoMonthlyImport _loss projection" xfId="386"/>
    <cellStyle name="_GencoMonthlyImport _se conf tnd compr" xfId="387"/>
    <cellStyle name="_GencoMonthlyImport _T&amp;D April--09" xfId="388"/>
    <cellStyle name="_Gondal" xfId="389"/>
    <cellStyle name="_Gondal progrss report 12.5.08" xfId="390"/>
    <cellStyle name="_Gondal progrss report 12.5.08_JGY BM Cross FDR" xfId="391"/>
    <cellStyle name="_Gondal TR Circle MAY-04" xfId="392"/>
    <cellStyle name="_Gondal TR Circle MAY-04_8.2 and 8.1" xfId="393"/>
    <cellStyle name="_Gondal TR Circle MAY-04_Activity since Feb-2008" xfId="394"/>
    <cellStyle name="_Gondal TR Circle MAY-04_Activity since Feb-2008_JGY BM Cross FDR" xfId="395"/>
    <cellStyle name="_Gondal TR Circle MAY-04_AMR" xfId="396"/>
    <cellStyle name="_Gondal TR Circle MAY-04_augmentation 2007-08" xfId="397"/>
    <cellStyle name="_Gondal TR Circle MAY-04_Augmentation 2008-09" xfId="398"/>
    <cellStyle name="_Gondal TR Circle MAY-04_Book1" xfId="399"/>
    <cellStyle name="_Gondal TR Circle MAY-04_Breaker timing test" xfId="400"/>
    <cellStyle name="_Gondal TR Circle MAY-04_Breaker timing test_JGY BM Cross FDR" xfId="401"/>
    <cellStyle name="_Gondal TR Circle MAY-04_CIRCLE FINAL R&amp;M SUMMARY (Brh, Meh, GDLZone)" xfId="402"/>
    <cellStyle name="_Gondal TR Circle MAY-04_Copy of Zone- Formate for meeting 15.7.08" xfId="403"/>
    <cellStyle name="_Gondal TR Circle MAY-04_Copy of Zone- Formate for meeting 30.8.08" xfId="404"/>
    <cellStyle name="_Gondal TR Circle MAY-04_Copy of Zone- Formate for meeting 30.9.08" xfId="405"/>
    <cellStyle name="_Gondal TR Circle MAY-04_cum-JUL09" xfId="406"/>
    <cellStyle name="_Gondal TR Circle MAY-04_cum-JUN09" xfId="407"/>
    <cellStyle name="_Gondal TR Circle MAY-04_cum-NOV09" xfId="408"/>
    <cellStyle name="_Gondal TR Circle MAY-04_cum-OCT09" xfId="409"/>
    <cellStyle name="_Gondal TR Circle MAY-04_cum-SEP09" xfId="410"/>
    <cellStyle name="_Gondal TR Circle MAY-04_Gondal(REC)-after S'nagar" xfId="411"/>
    <cellStyle name="_Gondal TR Circle MAY-04_LOSS DATA NOV-09" xfId="412"/>
    <cellStyle name="_Gondal TR Circle MAY-04_loss projection" xfId="413"/>
    <cellStyle name="_Gondal TR Circle MAY-04_MD Visit - 10.9.08" xfId="414"/>
    <cellStyle name="_Gondal TR Circle MAY-04_Project Meeting-8.7.08" xfId="415"/>
    <cellStyle name="_Gondal TR Circle MAY-04_REC-2008-09(Asha)" xfId="416"/>
    <cellStyle name="_Gondal TR Circle MAY-04_se conf tnd compr" xfId="417"/>
    <cellStyle name="_Gondal TR Circle MAY-04_T&amp;D April--09" xfId="418"/>
    <cellStyle name="_Gondal zone" xfId="419"/>
    <cellStyle name="_Gondal Zone Data" xfId="420"/>
    <cellStyle name="_Gondal Zone Data_JGY BM Cross FDR" xfId="421"/>
    <cellStyle name="_GONDAL ZONE_1" xfId="422"/>
    <cellStyle name="_GONDAL ZONE_1_JGY BM Cross FDR" xfId="423"/>
    <cellStyle name="_Gondal zone_Activity since Feb-2008" xfId="424"/>
    <cellStyle name="_Gondal zone_Activity since Feb-2008_JGY BM Cross FDR" xfId="425"/>
    <cellStyle name="_Gondal zone_Gondal Zone Dtd.23.6.08" xfId="426"/>
    <cellStyle name="_Gondal zone_Gondal Zone Dtd.23.6.08_JGY BM Cross FDR" xfId="427"/>
    <cellStyle name="_Gondal zone_lines coverd in R &amp; M for 2007-08 and 2008-09" xfId="428"/>
    <cellStyle name="_Gondal zone_lines coverd in R &amp; M for 2007-08 and 2008-09_JGY BM Cross FDR" xfId="429"/>
    <cellStyle name="_Gondal zone_Monthly progress of ss &amp; line Jun-08" xfId="430"/>
    <cellStyle name="_Gondal zone_Monthly progress of ss &amp; line Jun-08_JGY BM Cross FDR" xfId="431"/>
    <cellStyle name="_Gondal zone_progress" xfId="432"/>
    <cellStyle name="_Gondal zone_progress_Activity since Feb-2008" xfId="433"/>
    <cellStyle name="_Gondal zone_progress_Activity since Feb-2008_JGY BM Cross FDR" xfId="434"/>
    <cellStyle name="_Gondal zone_progress_Book1" xfId="435"/>
    <cellStyle name="_Gondal zone_progress_Copy of Zone- Formate for meeting 15.7.08" xfId="436"/>
    <cellStyle name="_Gondal zone_progress_Copy of Zone- Formate for meeting 30.8.08" xfId="437"/>
    <cellStyle name="_Gondal zone_progress_Copy of Zone- Formate for meeting 30.9.08" xfId="438"/>
    <cellStyle name="_Gondal zone_progress_MD Visit - 10.9.08" xfId="439"/>
    <cellStyle name="_Gondal zone_progress_Project Meeting-8.7.08" xfId="440"/>
    <cellStyle name="_Gondal zone_Zonal Gondal-R&amp;M MIS Jan(1).-08" xfId="441"/>
    <cellStyle name="_Gondal zone_Zonal Gondal-R&amp;M MIS Jan(1).-08_Activity since Feb-2008" xfId="442"/>
    <cellStyle name="_Gondal zone_Zonal Gondal-R&amp;M MIS Jan(1).-08_Activity since Feb-2008_JGY BM Cross FDR" xfId="443"/>
    <cellStyle name="_Gondal zone_Zonal Gondal-R&amp;M MIS Jan(1).-08_Book1" xfId="444"/>
    <cellStyle name="_Gondal zone_Zonal Gondal-R&amp;M MIS Jan(1).-08_Copy of Zone- Formate for meeting 15.7.08" xfId="445"/>
    <cellStyle name="_Gondal zone_Zonal Gondal-R&amp;M MIS Jan(1).-08_Copy of Zone- Formate for meeting 30.8.08" xfId="446"/>
    <cellStyle name="_Gondal zone_Zonal Gondal-R&amp;M MIS Jan(1).-08_Copy of Zone- Formate for meeting 30.9.08" xfId="447"/>
    <cellStyle name="_Gondal zone_Zonal Gondal-R&amp;M MIS Jan(1).-08_MD Visit - 10.9.08" xfId="448"/>
    <cellStyle name="_Gondal zone_Zonal Gondal-R&amp;M MIS Jan(1).-08_Project Meeting-8.7.08" xfId="449"/>
    <cellStyle name="_Gondal zone_Zone- Formate for meeting 14.6.08" xfId="450"/>
    <cellStyle name="_Gondal zone_Zone- Formate for meeting 14.6.08_JGY BM Cross FDR" xfId="451"/>
    <cellStyle name="_Gondal zone_Zone-summary" xfId="452"/>
    <cellStyle name="_Gondal zone_Zone-summary_JGY BM Cross FDR" xfId="453"/>
    <cellStyle name="_Gondal_1" xfId="454"/>
    <cellStyle name="_Gondal_1_JGY BM Cross FDR" xfId="455"/>
    <cellStyle name="_Gondal_8.2 and 8.1" xfId="456"/>
    <cellStyle name="_Gondal_8.2 and 8.1_JGY BM Cross FDR" xfId="457"/>
    <cellStyle name="_Gondal_Activity since Feb-2008" xfId="458"/>
    <cellStyle name="_Gondal_Activity since Feb-2008_JGY BM Cross FDR" xfId="459"/>
    <cellStyle name="_Gondal_ANNEXURE-PERFORMANCE" xfId="460"/>
    <cellStyle name="_Gondal_ANNEXURE-PERFORMANCE_Activity since Feb-2008" xfId="461"/>
    <cellStyle name="_Gondal_ANNEXURE-PERFORMANCE_Activity since Feb-2008_JGY BM Cross FDR" xfId="462"/>
    <cellStyle name="_Gondal_augmentation 2007-08" xfId="463"/>
    <cellStyle name="_Gondal_augmentation 2007-08_JGY BM Cross FDR" xfId="464"/>
    <cellStyle name="_Gondal_Augmentation 2008-09" xfId="465"/>
    <cellStyle name="_Gondal_Augmentation 2008-09_JGY BM Cross FDR" xfId="466"/>
    <cellStyle name="_Gondal_Book1" xfId="467"/>
    <cellStyle name="_Gondal_Book3" xfId="468"/>
    <cellStyle name="_Gondal_CIRCLE FINAL R&amp;M SUMMARY (Brh, Meh, GDLZone)" xfId="469"/>
    <cellStyle name="_Gondal_cum-JUL09" xfId="470"/>
    <cellStyle name="_Gondal_cum-JUN09" xfId="471"/>
    <cellStyle name="_Gondal_cum-NOV09" xfId="472"/>
    <cellStyle name="_Gondal_cum-OCT09" xfId="473"/>
    <cellStyle name="_Gondal_cum-SEP09" xfId="474"/>
    <cellStyle name="_Gondal_Format mat req 08-09" xfId="475"/>
    <cellStyle name="_Gondal_Gondal(REC)-after S'nagar" xfId="476"/>
    <cellStyle name="_Gondal_LOSS DATA NOV-09" xfId="477"/>
    <cellStyle name="_Gondal_loss projection" xfId="478"/>
    <cellStyle name="_Gondal_REC-2008-09(Asha)" xfId="479"/>
    <cellStyle name="_Gondal_REC-2008-09(Asha)_JGY BM Cross FDR" xfId="480"/>
    <cellStyle name="_Gondal_se conf tnd compr" xfId="481"/>
    <cellStyle name="_high value of LA" xfId="482"/>
    <cellStyle name="_high value of LA_JGY BM Cross FDR" xfId="483"/>
    <cellStyle name="_Jambuva circle" xfId="484"/>
    <cellStyle name="_Jambuva circle_JGY BM Cross FDR" xfId="485"/>
    <cellStyle name="_JMB" xfId="486"/>
    <cellStyle name="_JMB_Gondal(REC)-after S'nagar" xfId="487"/>
    <cellStyle name="_JMB_JGY BM Cross FDR" xfId="488"/>
    <cellStyle name="_JND" xfId="489"/>
    <cellStyle name="_JND_Gondal(REC)-after S'nagar" xfId="490"/>
    <cellStyle name="_JND_JGY BM Cross FDR" xfId="491"/>
    <cellStyle name="_Junagadh" xfId="492"/>
    <cellStyle name="_Junagadh_JGY BM Cross FDR" xfId="493"/>
    <cellStyle name="_lINE SHIFTING DETAIL GONDAL ZONE" xfId="494"/>
    <cellStyle name="_lINE SHIFTING DETAIL GONDAL ZONE_JGY BM Cross FDR" xfId="495"/>
    <cellStyle name="_Material requirement 2008-09" xfId="496"/>
    <cellStyle name="_MD Meeting 4.11.06" xfId="497"/>
    <cellStyle name="_MD Meeting 4.11.06_JGY BM Cross FDR" xfId="498"/>
    <cellStyle name="_MD REPORT-DEC07-DHARMESH" xfId="499"/>
    <cellStyle name="_MD REPORT-DEC07-DHARMESH_JGY BM Cross FDR" xfId="500"/>
    <cellStyle name="_MD REPORT-JAN-08-DHARMESH" xfId="501"/>
    <cellStyle name="_MD REPORT-JAN-08-DHARMESH_JGY BM Cross FDR" xfId="502"/>
    <cellStyle name="_MGVCL" xfId="503"/>
    <cellStyle name="_MGVCL_cum-JUL09" xfId="504"/>
    <cellStyle name="_MGVCL_cum-JUN09" xfId="505"/>
    <cellStyle name="_MGVCL_cum-NOV09" xfId="506"/>
    <cellStyle name="_MGVCL_cum-OCT09" xfId="507"/>
    <cellStyle name="_MGVCL_cum-SEP09" xfId="508"/>
    <cellStyle name="_MGVCL_Format mat req 08-09" xfId="509"/>
    <cellStyle name="_MGVCL_LOSS DATA NOV-09" xfId="510"/>
    <cellStyle name="_MGVCL_loss projection" xfId="511"/>
    <cellStyle name="_MGVCL_se conf tnd compr" xfId="512"/>
    <cellStyle name="_Nadiad New EBC fomat 23.2.05" xfId="513"/>
    <cellStyle name="_Nadiad New EBC fomat 23.2.05_AMR" xfId="514"/>
    <cellStyle name="_Nadiad New EBC fomat 23.2.05_cum-JUL09" xfId="515"/>
    <cellStyle name="_Nadiad New EBC fomat 23.2.05_cum-JUN09" xfId="516"/>
    <cellStyle name="_Nadiad New EBC fomat 23.2.05_cum-NOV09" xfId="517"/>
    <cellStyle name="_Nadiad New EBC fomat 23.2.05_cum-OCT09" xfId="518"/>
    <cellStyle name="_Nadiad New EBC fomat 23.2.05_cum-SEP09" xfId="519"/>
    <cellStyle name="_Nadiad New EBC fomat 23.2.05_LOSS DATA NOV-09" xfId="520"/>
    <cellStyle name="_Nadiad New EBC fomat 23.2.05_loss projection" xfId="521"/>
    <cellStyle name="_Nadiad New EBC fomat 23.2.05_se conf tnd compr" xfId="522"/>
    <cellStyle name="_Nadiad New EBC fomat 23.2.05_T&amp;D April--09" xfId="523"/>
    <cellStyle name="_Nadiad New EBC Format April-05" xfId="524"/>
    <cellStyle name="_Nadiad New EBC Format April-05_AMR" xfId="525"/>
    <cellStyle name="_Nadiad New EBC Format April-05_cum-JUL09" xfId="526"/>
    <cellStyle name="_Nadiad New EBC Format April-05_cum-JUN09" xfId="527"/>
    <cellStyle name="_Nadiad New EBC Format April-05_cum-NOV09" xfId="528"/>
    <cellStyle name="_Nadiad New EBC Format April-05_cum-OCT09" xfId="529"/>
    <cellStyle name="_Nadiad New EBC Format April-05_cum-SEP09" xfId="530"/>
    <cellStyle name="_Nadiad New EBC Format April-05_LOSS DATA NOV-09" xfId="531"/>
    <cellStyle name="_Nadiad New EBC Format April-05_loss projection" xfId="532"/>
    <cellStyle name="_Nadiad New EBC Format April-05_se conf tnd compr" xfId="533"/>
    <cellStyle name="_Nadiad New EBC Format April-05_T&amp;D April--09" xfId="534"/>
    <cellStyle name="_New EBC Format 28.3.05" xfId="535"/>
    <cellStyle name="_New EBC Format 28.3.05_AMR" xfId="536"/>
    <cellStyle name="_New EBC Format 28.3.05_cum-JUL09" xfId="537"/>
    <cellStyle name="_New EBC Format 28.3.05_cum-JUN09" xfId="538"/>
    <cellStyle name="_New EBC Format 28.3.05_cum-NOV09" xfId="539"/>
    <cellStyle name="_New EBC Format 28.3.05_cum-OCT09" xfId="540"/>
    <cellStyle name="_New EBC Format 28.3.05_cum-SEP09" xfId="541"/>
    <cellStyle name="_New EBC Format 28.3.05_LOSS DATA NOV-09" xfId="542"/>
    <cellStyle name="_New EBC Format 28.3.05_loss projection" xfId="543"/>
    <cellStyle name="_New EBC Format 28.3.05_se conf tnd compr" xfId="544"/>
    <cellStyle name="_New EBC Format 28.3.05_T&amp;D April--09" xfId="545"/>
    <cellStyle name="_New EBC format for Nadiad (TR)  30.09.04" xfId="546"/>
    <cellStyle name="_New EBC format for Nadiad (TR)  30.09.04_AMR" xfId="547"/>
    <cellStyle name="_New EBC format for Nadiad (TR)  30.09.04_cum-JUL09" xfId="548"/>
    <cellStyle name="_New EBC format for Nadiad (TR)  30.09.04_cum-JUN09" xfId="549"/>
    <cellStyle name="_New EBC format for Nadiad (TR)  30.09.04_cum-NOV09" xfId="550"/>
    <cellStyle name="_New EBC format for Nadiad (TR)  30.09.04_cum-OCT09" xfId="551"/>
    <cellStyle name="_New EBC format for Nadiad (TR)  30.09.04_cum-SEP09" xfId="552"/>
    <cellStyle name="_New EBC format for Nadiad (TR)  30.09.04_LOSS DATA NOV-09" xfId="553"/>
    <cellStyle name="_New EBC format for Nadiad (TR)  30.09.04_loss projection" xfId="554"/>
    <cellStyle name="_New EBC format for Nadiad (TR)  30.09.04_se conf tnd compr" xfId="555"/>
    <cellStyle name="_New EBC format for Nadiad (TR)  30.09.04_T&amp;D April--09" xfId="556"/>
    <cellStyle name="_new Tand d  losses Jan 07" xfId="557"/>
    <cellStyle name="_new Tand d  losses Jan 07_JGY BM Cross FDR" xfId="558"/>
    <cellStyle name="_One to One Progress report Oct.-07" xfId="559"/>
    <cellStyle name="_One to One Progress report Oct.-07_Activity since Feb-2008" xfId="560"/>
    <cellStyle name="_One to One Progress report Oct.-07_Activity since Feb-2008_JGY BM Cross FDR" xfId="561"/>
    <cellStyle name="_One to One Progress report Oct.-07_Book1" xfId="562"/>
    <cellStyle name="_One to One Progress report Oct.-07_Breaker timing test" xfId="563"/>
    <cellStyle name="_One to One Progress report Oct.-07_Breaker timing test_JGY BM Cross FDR" xfId="564"/>
    <cellStyle name="_One to One Progress report Oct.-07_Copy of Zone- Formate for meeting 15.7.08" xfId="565"/>
    <cellStyle name="_One to One Progress report Oct.-07_Copy of Zone- Formate for meeting 30.8.08" xfId="566"/>
    <cellStyle name="_One to One Progress report Oct.-07_Copy of Zone- Formate for meeting 30.9.08" xfId="567"/>
    <cellStyle name="_One to One Progress report Oct.-07_MD Visit - 10.9.08" xfId="568"/>
    <cellStyle name="_One to One Progress report Oct.-07_Project Meeting-8.7.08" xfId="569"/>
    <cellStyle name="_Other Points 01.07.09" xfId="570"/>
    <cellStyle name="_Other Points 20.04.09" xfId="571"/>
    <cellStyle name="_OVERHAULING" xfId="572"/>
    <cellStyle name="_OVERHAULING_JGY BM Cross FDR" xfId="573"/>
    <cellStyle name="_PALANPUR" xfId="574"/>
    <cellStyle name="_PALANPUR_JGY BM Cross FDR" xfId="575"/>
    <cellStyle name="_Performance 26.02.08" xfId="576"/>
    <cellStyle name="_Performance 26.02.08_JGY BM Cross FDR" xfId="577"/>
    <cellStyle name="_PF LESS THAN 0.9 PF PLN TR CO  JAN  08" xfId="578"/>
    <cellStyle name="_PF LESS THAN 0.9 PF PLN TR CO  JAN  08_JGY BM Cross FDR" xfId="579"/>
    <cellStyle name="_PGVCL" xfId="580"/>
    <cellStyle name="_PGVCL- 5-VAL" xfId="581"/>
    <cellStyle name="_PGVCL- 5-VAL_JGY BM Cross FDR" xfId="582"/>
    <cellStyle name="_PGVCL- 7-" xfId="583"/>
    <cellStyle name="_PGVCL_cum-JUL09" xfId="584"/>
    <cellStyle name="_PGVCL_cum-JUN09" xfId="585"/>
    <cellStyle name="_PGVCL_cum-NOV09" xfId="586"/>
    <cellStyle name="_PGVCL_cum-OCT09" xfId="587"/>
    <cellStyle name="_PGVCL_cum-SEP09" xfId="588"/>
    <cellStyle name="_PGVCL_Format mat req 08-09" xfId="589"/>
    <cellStyle name="_PGVCL_JGY BM Cross FDR" xfId="590"/>
    <cellStyle name="_PGVCL_LOSS DATA NOV-09" xfId="591"/>
    <cellStyle name="_PGVCL_loss projection" xfId="592"/>
    <cellStyle name="_PGVCL_Material Requirement9-10" xfId="593"/>
    <cellStyle name="_PGVCL_Material Requirement9-10 (2)" xfId="594"/>
    <cellStyle name="_PGVCL_Other Points 20.04.09" xfId="595"/>
    <cellStyle name="_PGVCL_Point 8. Material Requirement" xfId="596"/>
    <cellStyle name="_PGVCL_point 9. Price Variation" xfId="597"/>
    <cellStyle name="_PGVCL_Revised Coastal Planning 2009_10 20.05.09" xfId="598"/>
    <cellStyle name="_PGVCL_se conf tnd compr" xfId="599"/>
    <cellStyle name="_pgvcl-1" xfId="600"/>
    <cellStyle name="_pgvcl-1_Accident - 2007-08 + 2008-09 -- 15.12.08" xfId="601"/>
    <cellStyle name="_pgvcl-1_Accident S-dn wise up to Nov. 08 for SE's Conference" xfId="602"/>
    <cellStyle name="_pgvcl-1_Book-DMTHL" xfId="603"/>
    <cellStyle name="_pgvcl-1_Comparison" xfId="604"/>
    <cellStyle name="_pgvcl-1_Comp-Temp" xfId="605"/>
    <cellStyle name="_pgvcl-1_Details of Selected Urban Feeder" xfId="606"/>
    <cellStyle name="_pgvcl-1_DHTHL JAN-09" xfId="607"/>
    <cellStyle name="_pgvcl-1_dnthl Feb-09" xfId="608"/>
    <cellStyle name="_pgvcl-1_JGY BM Cross FDR" xfId="609"/>
    <cellStyle name="_pgvcl-1_JGYssss" xfId="610"/>
    <cellStyle name="_pgvcl-1_JMN-7" xfId="611"/>
    <cellStyle name="_pgvcl-1_JMN-7_JGY BM Cross FDR" xfId="612"/>
    <cellStyle name="_pgvcl-1_JMN-77" xfId="613"/>
    <cellStyle name="_pgvcl-1_JMN-77_JGY BM Cross FDR" xfId="614"/>
    <cellStyle name="_pgvcl-1_JND - 5" xfId="615"/>
    <cellStyle name="_pgvcl-1_JND - 5_JGY BM Cross FDR" xfId="616"/>
    <cellStyle name="_pgvcl-1_JND 50" xfId="617"/>
    <cellStyle name="_pgvcl-1_JND 50_JGY BM Cross FDR" xfId="618"/>
    <cellStyle name="_pgvcl-1_NEW MIS Feb - 08" xfId="619"/>
    <cellStyle name="_pgvcl-1_NEW MIS Feb - 08_Book-DMTHL" xfId="620"/>
    <cellStyle name="_pgvcl-1_NEW MIS Feb - 08_Comparison" xfId="621"/>
    <cellStyle name="_pgvcl-1_NEW MIS Feb - 08_Comp-Temp" xfId="622"/>
    <cellStyle name="_pgvcl-1_NEW MIS Feb - 08_Details of Selected Urban Feeder" xfId="623"/>
    <cellStyle name="_pgvcl-1_NEW MIS Feb - 08_DHTHL JAN-09" xfId="624"/>
    <cellStyle name="_pgvcl-1_NEW MIS Feb - 08_dnthl Feb-09" xfId="625"/>
    <cellStyle name="_pgvcl-1_NEW MIS Feb - 08_JGY BM Cross FDR" xfId="626"/>
    <cellStyle name="_pgvcl-1_NEW MIS Feb - 08_JGYssss" xfId="627"/>
    <cellStyle name="_pgvcl-1_NEW MIS Feb - 08_PBR" xfId="628"/>
    <cellStyle name="_pgvcl-1_NEW MIS Feb - 08_PBR CO_DAILY REPORT GIS - 20-01-09" xfId="629"/>
    <cellStyle name="_pgvcl-1_NEW MIS Feb - 08_Point No.-3 T&amp;D _ 06-11-08" xfId="630"/>
    <cellStyle name="_pgvcl-1_NEW MIS Feb - 08_Point no.3_17-10-08" xfId="631"/>
    <cellStyle name="_pgvcl-1_NEW MIS Feb - 08_T&amp;D August-08" xfId="632"/>
    <cellStyle name="_pgvcl-1_NEW MIS Feb - 08_T&amp;D Data 2005-06 Onwards Database master" xfId="633"/>
    <cellStyle name="_pgvcl-1_NEW MIS Feb - 08_T&amp;D Dec-08" xfId="634"/>
    <cellStyle name="_pgvcl-1_NEW MIS Feb - 08_T&amp;D July-08" xfId="635"/>
    <cellStyle name="_pgvcl-1_NEW MIS Feb - 08_URBAN WEEKLY PBR CO" xfId="636"/>
    <cellStyle name="_pgvcl-1_NEW MIS Feb - 08_Weekly Urban PBR CO - 06-03-09 to 12-03-09" xfId="637"/>
    <cellStyle name="_pgvcl-1_NEW MIS Feb - 08_Weekly Urban PBR CO - 20-02-09 to 26-02-09" xfId="638"/>
    <cellStyle name="_pgvcl-1_NEW MIS Feb - 08_Weekly Urban PBR CO - 30-01-09 to 05-02-09" xfId="639"/>
    <cellStyle name="_pgvcl-1_NEW MIS Feb - 08_Weekly Urban PBR CO - 9-1-09 to 15.01.09" xfId="640"/>
    <cellStyle name="_pgvcl-1_NEW MIS Jan - 08" xfId="641"/>
    <cellStyle name="_pgvcl-1_NEW MIS Jan - 08_Book-DMTHL" xfId="642"/>
    <cellStyle name="_pgvcl-1_NEW MIS Jan - 08_Comparison" xfId="643"/>
    <cellStyle name="_pgvcl-1_NEW MIS Jan - 08_Comp-Temp" xfId="644"/>
    <cellStyle name="_pgvcl-1_NEW MIS Jan - 08_Details of Selected Urban Feeder" xfId="645"/>
    <cellStyle name="_pgvcl-1_NEW MIS Jan - 08_DHTHL JAN-09" xfId="646"/>
    <cellStyle name="_pgvcl-1_NEW MIS Jan - 08_dnthl Feb-09" xfId="647"/>
    <cellStyle name="_pgvcl-1_NEW MIS Jan - 08_JGY BM Cross FDR" xfId="648"/>
    <cellStyle name="_pgvcl-1_NEW MIS Jan - 08_JGYssss" xfId="649"/>
    <cellStyle name="_pgvcl-1_NEW MIS Jan - 08_PBR" xfId="650"/>
    <cellStyle name="_pgvcl-1_NEW MIS Jan - 08_PBR CO_DAILY REPORT GIS - 20-01-09" xfId="651"/>
    <cellStyle name="_pgvcl-1_NEW MIS Jan - 08_Point No.-3 T&amp;D _ 06-11-08" xfId="652"/>
    <cellStyle name="_pgvcl-1_NEW MIS Jan - 08_Point no.3_17-10-08" xfId="653"/>
    <cellStyle name="_pgvcl-1_NEW MIS Jan - 08_T&amp;D August-08" xfId="654"/>
    <cellStyle name="_pgvcl-1_NEW MIS Jan - 08_T&amp;D Data 2005-06 Onwards Database master" xfId="655"/>
    <cellStyle name="_pgvcl-1_NEW MIS Jan - 08_T&amp;D Dec-08" xfId="656"/>
    <cellStyle name="_pgvcl-1_NEW MIS Jan - 08_T&amp;D July-08" xfId="657"/>
    <cellStyle name="_pgvcl-1_NEW MIS Jan - 08_URBAN WEEKLY PBR CO" xfId="658"/>
    <cellStyle name="_pgvcl-1_NEW MIS Jan - 08_Weekly Urban PBR CO - 06-03-09 to 12-03-09" xfId="659"/>
    <cellStyle name="_pgvcl-1_NEW MIS Jan - 08_Weekly Urban PBR CO - 20-02-09 to 26-02-09" xfId="660"/>
    <cellStyle name="_pgvcl-1_NEW MIS Jan - 08_Weekly Urban PBR CO - 30-01-09 to 05-02-09" xfId="661"/>
    <cellStyle name="_pgvcl-1_NEW MIS Jan - 08_Weekly Urban PBR CO - 9-1-09 to 15.01.09" xfId="662"/>
    <cellStyle name="_pgvcl-1_NEW MIS Mar - 08" xfId="663"/>
    <cellStyle name="_pgvcl-1_NEW MIS Mar - 08_JGY BM Cross FDR" xfId="664"/>
    <cellStyle name="_pgvcl-1_PBR" xfId="665"/>
    <cellStyle name="_pgvcl-1_PBR CO_DAILY REPORT GIS - 20-01-09" xfId="666"/>
    <cellStyle name="_pgvcl-1_PBR-7" xfId="667"/>
    <cellStyle name="_pgvcl-1_Point No.-3 T&amp;D _ 06-11-08" xfId="668"/>
    <cellStyle name="_pgvcl-1_Point no.3_17-10-08" xfId="669"/>
    <cellStyle name="_pgvcl-1_sept JMN-7" xfId="670"/>
    <cellStyle name="_pgvcl-1_T&amp;D August-08" xfId="671"/>
    <cellStyle name="_pgvcl-1_T&amp;D Data 2005-06 Onwards Database master" xfId="672"/>
    <cellStyle name="_pgvcl-1_T&amp;D Dec-08" xfId="673"/>
    <cellStyle name="_pgvcl-1_T&amp;D July-08" xfId="674"/>
    <cellStyle name="_pgvcl-1_URBAN WEEKLY PBR CO" xfId="675"/>
    <cellStyle name="_pgvcl-1_Weekly Urban PBR CO - 06-03-09 to 12-03-09" xfId="676"/>
    <cellStyle name="_pgvcl-1_Weekly Urban PBR CO - 20-02-09 to 26-02-09" xfId="677"/>
    <cellStyle name="_pgvcl-1_Weekly Urban PBR CO - 30-01-09 to 05-02-09" xfId="678"/>
    <cellStyle name="_pgvcl-1_Weekly Urban PBR CO - 9-1-09 to 15.01.09" xfId="679"/>
    <cellStyle name="_pgvcl-1-1" xfId="680"/>
    <cellStyle name="_pgvcl-1-1_Accident - 2007-08 + 2008-09 -- 15.12.08" xfId="681"/>
    <cellStyle name="_pgvcl-1-1_Accident S-dn wise up to Nov. 08 for SE's Conference" xfId="682"/>
    <cellStyle name="_pgvcl-1-1_Book-DMTHL" xfId="683"/>
    <cellStyle name="_pgvcl-1-1_Comparison" xfId="684"/>
    <cellStyle name="_pgvcl-1-1_Comp-Temp" xfId="685"/>
    <cellStyle name="_pgvcl-1-1_Details of Selected Urban Feeder" xfId="686"/>
    <cellStyle name="_pgvcl-1-1_DHTHL JAN-09" xfId="687"/>
    <cellStyle name="_pgvcl-1-1_dnthl Feb-09" xfId="688"/>
    <cellStyle name="_pgvcl-1-1_JGY BM Cross FDR" xfId="689"/>
    <cellStyle name="_pgvcl-1-1_JGYssss" xfId="690"/>
    <cellStyle name="_pgvcl-1-1_JMN-7" xfId="691"/>
    <cellStyle name="_pgvcl-1-1_JMN-7_JGY BM Cross FDR" xfId="692"/>
    <cellStyle name="_pgvcl-1-1_JMN-77" xfId="693"/>
    <cellStyle name="_pgvcl-1-1_JMN-77_JGY BM Cross FDR" xfId="694"/>
    <cellStyle name="_pgvcl-1-1_JND - 5" xfId="695"/>
    <cellStyle name="_pgvcl-1-1_JND - 5_JGY BM Cross FDR" xfId="696"/>
    <cellStyle name="_pgvcl-1-1_JND 50" xfId="697"/>
    <cellStyle name="_pgvcl-1-1_JND 50_JGY BM Cross FDR" xfId="698"/>
    <cellStyle name="_pgvcl-1-1_NEW MIS Feb - 08" xfId="699"/>
    <cellStyle name="_pgvcl-1-1_NEW MIS Feb - 08_Book-DMTHL" xfId="700"/>
    <cellStyle name="_pgvcl-1-1_NEW MIS Feb - 08_Comparison" xfId="701"/>
    <cellStyle name="_pgvcl-1-1_NEW MIS Feb - 08_Comp-Temp" xfId="702"/>
    <cellStyle name="_pgvcl-1-1_NEW MIS Feb - 08_Details of Selected Urban Feeder" xfId="703"/>
    <cellStyle name="_pgvcl-1-1_NEW MIS Feb - 08_DHTHL JAN-09" xfId="704"/>
    <cellStyle name="_pgvcl-1-1_NEW MIS Feb - 08_dnthl Feb-09" xfId="705"/>
    <cellStyle name="_pgvcl-1-1_NEW MIS Feb - 08_JGY BM Cross FDR" xfId="706"/>
    <cellStyle name="_pgvcl-1-1_NEW MIS Feb - 08_JGYssss" xfId="707"/>
    <cellStyle name="_pgvcl-1-1_NEW MIS Feb - 08_PBR" xfId="708"/>
    <cellStyle name="_pgvcl-1-1_NEW MIS Feb - 08_PBR CO_DAILY REPORT GIS - 20-01-09" xfId="709"/>
    <cellStyle name="_pgvcl-1-1_NEW MIS Feb - 08_Point No.-3 T&amp;D _ 06-11-08" xfId="710"/>
    <cellStyle name="_pgvcl-1-1_NEW MIS Feb - 08_Point no.3_17-10-08" xfId="711"/>
    <cellStyle name="_pgvcl-1-1_NEW MIS Feb - 08_T&amp;D August-08" xfId="712"/>
    <cellStyle name="_pgvcl-1-1_NEW MIS Feb - 08_T&amp;D Data 2005-06 Onwards Database master" xfId="713"/>
    <cellStyle name="_pgvcl-1-1_NEW MIS Feb - 08_T&amp;D Dec-08" xfId="714"/>
    <cellStyle name="_pgvcl-1-1_NEW MIS Feb - 08_T&amp;D July-08" xfId="715"/>
    <cellStyle name="_pgvcl-1-1_NEW MIS Feb - 08_URBAN WEEKLY PBR CO" xfId="716"/>
    <cellStyle name="_pgvcl-1-1_NEW MIS Feb - 08_Weekly Urban PBR CO - 06-03-09 to 12-03-09" xfId="717"/>
    <cellStyle name="_pgvcl-1-1_NEW MIS Feb - 08_Weekly Urban PBR CO - 20-02-09 to 26-02-09" xfId="718"/>
    <cellStyle name="_pgvcl-1-1_NEW MIS Feb - 08_Weekly Urban PBR CO - 30-01-09 to 05-02-09" xfId="719"/>
    <cellStyle name="_pgvcl-1-1_NEW MIS Feb - 08_Weekly Urban PBR CO - 9-1-09 to 15.01.09" xfId="720"/>
    <cellStyle name="_pgvcl-1-1_NEW MIS Jan - 08" xfId="721"/>
    <cellStyle name="_pgvcl-1-1_NEW MIS Jan - 08_Book-DMTHL" xfId="722"/>
    <cellStyle name="_pgvcl-1-1_NEW MIS Jan - 08_Comparison" xfId="723"/>
    <cellStyle name="_pgvcl-1-1_NEW MIS Jan - 08_Comp-Temp" xfId="724"/>
    <cellStyle name="_pgvcl-1-1_NEW MIS Jan - 08_Details of Selected Urban Feeder" xfId="725"/>
    <cellStyle name="_pgvcl-1-1_NEW MIS Jan - 08_DHTHL JAN-09" xfId="726"/>
    <cellStyle name="_pgvcl-1-1_NEW MIS Jan - 08_dnthl Feb-09" xfId="727"/>
    <cellStyle name="_pgvcl-1-1_NEW MIS Jan - 08_JGY BM Cross FDR" xfId="728"/>
    <cellStyle name="_pgvcl-1-1_NEW MIS Jan - 08_JGYssss" xfId="729"/>
    <cellStyle name="_pgvcl-1-1_NEW MIS Jan - 08_PBR" xfId="730"/>
    <cellStyle name="_pgvcl-1-1_NEW MIS Jan - 08_PBR CO_DAILY REPORT GIS - 20-01-09" xfId="731"/>
    <cellStyle name="_pgvcl-1-1_NEW MIS Jan - 08_Point No.-3 T&amp;D _ 06-11-08" xfId="732"/>
    <cellStyle name="_pgvcl-1-1_NEW MIS Jan - 08_Point no.3_17-10-08" xfId="733"/>
    <cellStyle name="_pgvcl-1-1_NEW MIS Jan - 08_T&amp;D August-08" xfId="734"/>
    <cellStyle name="_pgvcl-1-1_NEW MIS Jan - 08_T&amp;D Data 2005-06 Onwards Database master" xfId="735"/>
    <cellStyle name="_pgvcl-1-1_NEW MIS Jan - 08_T&amp;D Dec-08" xfId="736"/>
    <cellStyle name="_pgvcl-1-1_NEW MIS Jan - 08_T&amp;D July-08" xfId="737"/>
    <cellStyle name="_pgvcl-1-1_NEW MIS Jan - 08_URBAN WEEKLY PBR CO" xfId="738"/>
    <cellStyle name="_pgvcl-1-1_NEW MIS Jan - 08_Weekly Urban PBR CO - 06-03-09 to 12-03-09" xfId="739"/>
    <cellStyle name="_pgvcl-1-1_NEW MIS Jan - 08_Weekly Urban PBR CO - 20-02-09 to 26-02-09" xfId="740"/>
    <cellStyle name="_pgvcl-1-1_NEW MIS Jan - 08_Weekly Urban PBR CO - 30-01-09 to 05-02-09" xfId="741"/>
    <cellStyle name="_pgvcl-1-1_NEW MIS Jan - 08_Weekly Urban PBR CO - 9-1-09 to 15.01.09" xfId="742"/>
    <cellStyle name="_pgvcl-1-1_NEW MIS Mar - 08" xfId="743"/>
    <cellStyle name="_pgvcl-1-1_NEW MIS Mar - 08_JGY BM Cross FDR" xfId="744"/>
    <cellStyle name="_pgvcl-1-1_PBR" xfId="745"/>
    <cellStyle name="_pgvcl-1-1_PBR CO_DAILY REPORT GIS - 20-01-09" xfId="746"/>
    <cellStyle name="_pgvcl-1-1_PBR-7" xfId="747"/>
    <cellStyle name="_pgvcl-1-1_Point No.-3 T&amp;D _ 06-11-08" xfId="748"/>
    <cellStyle name="_pgvcl-1-1_Point no.3_17-10-08" xfId="749"/>
    <cellStyle name="_pgvcl-1-1_sept JMN-7" xfId="750"/>
    <cellStyle name="_pgvcl-1-1_T&amp;D August-08" xfId="751"/>
    <cellStyle name="_pgvcl-1-1_T&amp;D Data 2005-06 Onwards Database master" xfId="752"/>
    <cellStyle name="_pgvcl-1-1_T&amp;D Dec-08" xfId="753"/>
    <cellStyle name="_pgvcl-1-1_T&amp;D July-08" xfId="754"/>
    <cellStyle name="_pgvcl-1-1_URBAN WEEKLY PBR CO" xfId="755"/>
    <cellStyle name="_pgvcl-1-1_Weekly Urban PBR CO - 06-03-09 to 12-03-09" xfId="756"/>
    <cellStyle name="_pgvcl-1-1_Weekly Urban PBR CO - 20-02-09 to 26-02-09" xfId="757"/>
    <cellStyle name="_pgvcl-1-1_Weekly Urban PBR CO - 30-01-09 to 05-02-09" xfId="758"/>
    <cellStyle name="_pgvcl-1-1_Weekly Urban PBR CO - 9-1-09 to 15.01.09" xfId="759"/>
    <cellStyle name="_pgvcl-2-2" xfId="760"/>
    <cellStyle name="_pgvcl-2-2_Accident - 2007-08 + 2008-09 -- 15.12.08" xfId="761"/>
    <cellStyle name="_pgvcl-2-2_Accident S-dn wise up to Nov. 08 for SE's Conference" xfId="762"/>
    <cellStyle name="_pgvcl-2-2_Book-DMTHL" xfId="763"/>
    <cellStyle name="_pgvcl-2-2_Comparison" xfId="764"/>
    <cellStyle name="_pgvcl-2-2_Comp-Temp" xfId="765"/>
    <cellStyle name="_pgvcl-2-2_Details of Selected Urban Feeder" xfId="766"/>
    <cellStyle name="_pgvcl-2-2_DHTHL JAN-09" xfId="767"/>
    <cellStyle name="_pgvcl-2-2_dnthl Feb-09" xfId="768"/>
    <cellStyle name="_pgvcl-2-2_JGY BM Cross FDR" xfId="769"/>
    <cellStyle name="_pgvcl-2-2_JGYssss" xfId="770"/>
    <cellStyle name="_pgvcl-2-2_JMN-7" xfId="771"/>
    <cellStyle name="_pgvcl-2-2_JMN-7_JGY BM Cross FDR" xfId="772"/>
    <cellStyle name="_pgvcl-2-2_JMN-77" xfId="773"/>
    <cellStyle name="_pgvcl-2-2_JMN-77_JGY BM Cross FDR" xfId="774"/>
    <cellStyle name="_pgvcl-2-2_JND - 5" xfId="775"/>
    <cellStyle name="_pgvcl-2-2_JND - 5_JGY BM Cross FDR" xfId="776"/>
    <cellStyle name="_pgvcl-2-2_JND 50" xfId="777"/>
    <cellStyle name="_pgvcl-2-2_JND 50_JGY BM Cross FDR" xfId="778"/>
    <cellStyle name="_pgvcl-2-2_NEW MIS Feb - 08" xfId="779"/>
    <cellStyle name="_pgvcl-2-2_NEW MIS Feb - 08_Book-DMTHL" xfId="780"/>
    <cellStyle name="_pgvcl-2-2_NEW MIS Feb - 08_Comparison" xfId="781"/>
    <cellStyle name="_pgvcl-2-2_NEW MIS Feb - 08_Comp-Temp" xfId="782"/>
    <cellStyle name="_pgvcl-2-2_NEW MIS Feb - 08_Details of Selected Urban Feeder" xfId="783"/>
    <cellStyle name="_pgvcl-2-2_NEW MIS Feb - 08_DHTHL JAN-09" xfId="784"/>
    <cellStyle name="_pgvcl-2-2_NEW MIS Feb - 08_dnthl Feb-09" xfId="785"/>
    <cellStyle name="_pgvcl-2-2_NEW MIS Feb - 08_JGY BM Cross FDR" xfId="786"/>
    <cellStyle name="_pgvcl-2-2_NEW MIS Feb - 08_JGYssss" xfId="787"/>
    <cellStyle name="_pgvcl-2-2_NEW MIS Feb - 08_PBR" xfId="788"/>
    <cellStyle name="_pgvcl-2-2_NEW MIS Feb - 08_PBR CO_DAILY REPORT GIS - 20-01-09" xfId="789"/>
    <cellStyle name="_pgvcl-2-2_NEW MIS Feb - 08_Point No.-3 T&amp;D _ 06-11-08" xfId="790"/>
    <cellStyle name="_pgvcl-2-2_NEW MIS Feb - 08_Point no.3_17-10-08" xfId="791"/>
    <cellStyle name="_pgvcl-2-2_NEW MIS Feb - 08_T&amp;D August-08" xfId="792"/>
    <cellStyle name="_pgvcl-2-2_NEW MIS Feb - 08_T&amp;D Data 2005-06 Onwards Database master" xfId="793"/>
    <cellStyle name="_pgvcl-2-2_NEW MIS Feb - 08_T&amp;D Dec-08" xfId="794"/>
    <cellStyle name="_pgvcl-2-2_NEW MIS Feb - 08_T&amp;D July-08" xfId="795"/>
    <cellStyle name="_pgvcl-2-2_NEW MIS Feb - 08_URBAN WEEKLY PBR CO" xfId="796"/>
    <cellStyle name="_pgvcl-2-2_NEW MIS Feb - 08_Weekly Urban PBR CO - 06-03-09 to 12-03-09" xfId="797"/>
    <cellStyle name="_pgvcl-2-2_NEW MIS Feb - 08_Weekly Urban PBR CO - 20-02-09 to 26-02-09" xfId="798"/>
    <cellStyle name="_pgvcl-2-2_NEW MIS Feb - 08_Weekly Urban PBR CO - 30-01-09 to 05-02-09" xfId="799"/>
    <cellStyle name="_pgvcl-2-2_NEW MIS Feb - 08_Weekly Urban PBR CO - 9-1-09 to 15.01.09" xfId="800"/>
    <cellStyle name="_pgvcl-2-2_NEW MIS Jan - 08" xfId="801"/>
    <cellStyle name="_pgvcl-2-2_NEW MIS Jan - 08_Book-DMTHL" xfId="802"/>
    <cellStyle name="_pgvcl-2-2_NEW MIS Jan - 08_Comparison" xfId="803"/>
    <cellStyle name="_pgvcl-2-2_NEW MIS Jan - 08_Comp-Temp" xfId="804"/>
    <cellStyle name="_pgvcl-2-2_NEW MIS Jan - 08_Details of Selected Urban Feeder" xfId="805"/>
    <cellStyle name="_pgvcl-2-2_NEW MIS Jan - 08_DHTHL JAN-09" xfId="806"/>
    <cellStyle name="_pgvcl-2-2_NEW MIS Jan - 08_dnthl Feb-09" xfId="807"/>
    <cellStyle name="_pgvcl-2-2_NEW MIS Jan - 08_JGY BM Cross FDR" xfId="808"/>
    <cellStyle name="_pgvcl-2-2_NEW MIS Jan - 08_JGYssss" xfId="809"/>
    <cellStyle name="_pgvcl-2-2_NEW MIS Jan - 08_PBR" xfId="810"/>
    <cellStyle name="_pgvcl-2-2_NEW MIS Jan - 08_PBR CO_DAILY REPORT GIS - 20-01-09" xfId="811"/>
    <cellStyle name="_pgvcl-2-2_NEW MIS Jan - 08_Point No.-3 T&amp;D _ 06-11-08" xfId="812"/>
    <cellStyle name="_pgvcl-2-2_NEW MIS Jan - 08_Point no.3_17-10-08" xfId="813"/>
    <cellStyle name="_pgvcl-2-2_NEW MIS Jan - 08_T&amp;D August-08" xfId="814"/>
    <cellStyle name="_pgvcl-2-2_NEW MIS Jan - 08_T&amp;D Data 2005-06 Onwards Database master" xfId="815"/>
    <cellStyle name="_pgvcl-2-2_NEW MIS Jan - 08_T&amp;D Dec-08" xfId="816"/>
    <cellStyle name="_pgvcl-2-2_NEW MIS Jan - 08_T&amp;D July-08" xfId="817"/>
    <cellStyle name="_pgvcl-2-2_NEW MIS Jan - 08_URBAN WEEKLY PBR CO" xfId="818"/>
    <cellStyle name="_pgvcl-2-2_NEW MIS Jan - 08_Weekly Urban PBR CO - 06-03-09 to 12-03-09" xfId="819"/>
    <cellStyle name="_pgvcl-2-2_NEW MIS Jan - 08_Weekly Urban PBR CO - 20-02-09 to 26-02-09" xfId="820"/>
    <cellStyle name="_pgvcl-2-2_NEW MIS Jan - 08_Weekly Urban PBR CO - 30-01-09 to 05-02-09" xfId="821"/>
    <cellStyle name="_pgvcl-2-2_NEW MIS Jan - 08_Weekly Urban PBR CO - 9-1-09 to 15.01.09" xfId="822"/>
    <cellStyle name="_pgvcl-2-2_NEW MIS Mar - 08" xfId="823"/>
    <cellStyle name="_pgvcl-2-2_NEW MIS Mar - 08_JGY BM Cross FDR" xfId="824"/>
    <cellStyle name="_pgvcl-2-2_PBR" xfId="825"/>
    <cellStyle name="_pgvcl-2-2_PBR CO_DAILY REPORT GIS - 20-01-09" xfId="826"/>
    <cellStyle name="_pgvcl-2-2_PBR-7" xfId="827"/>
    <cellStyle name="_pgvcl-2-2_Point No.-3 T&amp;D _ 06-11-08" xfId="828"/>
    <cellStyle name="_pgvcl-2-2_Point no.3_17-10-08" xfId="829"/>
    <cellStyle name="_pgvcl-2-2_sept JMN-7" xfId="830"/>
    <cellStyle name="_pgvcl-2-2_T&amp;D August-08" xfId="831"/>
    <cellStyle name="_pgvcl-2-2_T&amp;D Data 2005-06 Onwards Database master" xfId="832"/>
    <cellStyle name="_pgvcl-2-2_T&amp;D Dec-08" xfId="833"/>
    <cellStyle name="_pgvcl-2-2_T&amp;D July-08" xfId="834"/>
    <cellStyle name="_pgvcl-2-2_URBAN WEEKLY PBR CO" xfId="835"/>
    <cellStyle name="_pgvcl-2-2_Weekly Urban PBR CO - 06-03-09 to 12-03-09" xfId="836"/>
    <cellStyle name="_pgvcl-2-2_Weekly Urban PBR CO - 20-02-09 to 26-02-09" xfId="837"/>
    <cellStyle name="_pgvcl-2-2_Weekly Urban PBR CO - 30-01-09 to 05-02-09" xfId="838"/>
    <cellStyle name="_pgvcl-2-2_Weekly Urban PBR CO - 9-1-09 to 15.01.09" xfId="839"/>
    <cellStyle name="_pgvcl-costal" xfId="840"/>
    <cellStyle name="_pgvcl-costal_Accd upto respective Month" xfId="841"/>
    <cellStyle name="_pgvcl-costal_Accd upto respective Month_JGY BM Cross FDR" xfId="842"/>
    <cellStyle name="_pgvcl-costal_Accident - 2007-08 + 2008-09 -- 15.12.08" xfId="843"/>
    <cellStyle name="_pgvcl-costal_Accident S-dn wise up to Nov. 08 for SE's Conference" xfId="844"/>
    <cellStyle name="_pgvcl-costal_Book-DMTHL" xfId="845"/>
    <cellStyle name="_pgvcl-costal_BVN-7" xfId="846"/>
    <cellStyle name="_pgvcl-costal_BVN-7_JGY BM Cross FDR" xfId="847"/>
    <cellStyle name="_pgvcl-costal_Comparison" xfId="848"/>
    <cellStyle name="_pgvcl-costal_Dept Accd Month wise" xfId="849"/>
    <cellStyle name="_pgvcl-costal_Dept Accd Month wise_JGY BM Cross FDR" xfId="850"/>
    <cellStyle name="_pgvcl-costal_Details of Selected Urban Feeder" xfId="851"/>
    <cellStyle name="_pgvcl-costal_DHTHL JAN-09" xfId="852"/>
    <cellStyle name="_pgvcl-costal_Div wise Coastal" xfId="853"/>
    <cellStyle name="_pgvcl-costal_dnthl Feb-09" xfId="854"/>
    <cellStyle name="_pgvcl-costal_JGY BM Cross FDR" xfId="855"/>
    <cellStyle name="_pgvcl-costal_JGYssss" xfId="856"/>
    <cellStyle name="_pgvcl-costal_JMN-7" xfId="857"/>
    <cellStyle name="_pgvcl-costal_JMN-7_JGY BM Cross FDR" xfId="858"/>
    <cellStyle name="_pgvcl-costal_JMN-77" xfId="859"/>
    <cellStyle name="_pgvcl-costal_JMN-77_JGY BM Cross FDR" xfId="860"/>
    <cellStyle name="_pgvcl-costal_JND - 4" xfId="861"/>
    <cellStyle name="_pgvcl-costal_JND - 4_Book-DMTHL" xfId="862"/>
    <cellStyle name="_pgvcl-costal_JND - 4_Comparison" xfId="863"/>
    <cellStyle name="_pgvcl-costal_JND - 4_Details of Selected Urban Feeder" xfId="864"/>
    <cellStyle name="_pgvcl-costal_JND - 4_DHTHL JAN-09" xfId="865"/>
    <cellStyle name="_pgvcl-costal_JND - 4_dnthl Feb-09" xfId="866"/>
    <cellStyle name="_pgvcl-costal_JND - 4_JGY BM Cross FDR" xfId="867"/>
    <cellStyle name="_pgvcl-costal_JND - 4_JGYssss" xfId="868"/>
    <cellStyle name="_pgvcl-costal_JND - 4_PBR" xfId="869"/>
    <cellStyle name="_pgvcl-costal_JND - 4_PBR CO_DAILY REPORT GIS - 20-01-09" xfId="870"/>
    <cellStyle name="_pgvcl-costal_JND - 4_T&amp;D August-08" xfId="871"/>
    <cellStyle name="_pgvcl-costal_JND - 4_T&amp;D Dec-08" xfId="872"/>
    <cellStyle name="_pgvcl-costal_JND - 4_T&amp;D July-08" xfId="873"/>
    <cellStyle name="_pgvcl-costal_JND - 4_URBAN WEEKLY PBR CO" xfId="874"/>
    <cellStyle name="_pgvcl-costal_JND - 4_Weekly Urban PBR CO - 06-03-09 to 12-03-09" xfId="875"/>
    <cellStyle name="_pgvcl-costal_JND - 4_Weekly Urban PBR CO - 20-02-09 to 26-02-09" xfId="876"/>
    <cellStyle name="_pgvcl-costal_JND - 4_Weekly Urban PBR CO - 30-01-09 to 05-02-09" xfId="877"/>
    <cellStyle name="_pgvcl-costal_JND - 4_Weekly Urban PBR CO - 9-1-09 to 15.01.09" xfId="878"/>
    <cellStyle name="_pgvcl-costal_JND - 5" xfId="879"/>
    <cellStyle name="_pgvcl-costal_JND - 5_Book-DMTHL" xfId="880"/>
    <cellStyle name="_pgvcl-costal_JND - 5_Comparison" xfId="881"/>
    <cellStyle name="_pgvcl-costal_JND - 5_Details of Selected Urban Feeder" xfId="882"/>
    <cellStyle name="_pgvcl-costal_JND - 5_DHTHL JAN-09" xfId="883"/>
    <cellStyle name="_pgvcl-costal_JND - 5_dnthl Feb-09" xfId="884"/>
    <cellStyle name="_pgvcl-costal_JND - 5_JGY BM Cross FDR" xfId="885"/>
    <cellStyle name="_pgvcl-costal_JND - 5_JGYssss" xfId="886"/>
    <cellStyle name="_pgvcl-costal_JND - 5_PBR" xfId="887"/>
    <cellStyle name="_pgvcl-costal_JND - 5_PBR CO_DAILY REPORT GIS - 20-01-09" xfId="888"/>
    <cellStyle name="_pgvcl-costal_JND - 5_T&amp;D August-08" xfId="889"/>
    <cellStyle name="_pgvcl-costal_JND - 5_T&amp;D Dec-08" xfId="890"/>
    <cellStyle name="_pgvcl-costal_JND - 5_T&amp;D July-08" xfId="891"/>
    <cellStyle name="_pgvcl-costal_JND - 5_URBAN WEEKLY PBR CO" xfId="892"/>
    <cellStyle name="_pgvcl-costal_JND - 5_Weekly Urban PBR CO - 06-03-09 to 12-03-09" xfId="893"/>
    <cellStyle name="_pgvcl-costal_JND - 5_Weekly Urban PBR CO - 20-02-09 to 26-02-09" xfId="894"/>
    <cellStyle name="_pgvcl-costal_JND - 5_Weekly Urban PBR CO - 30-01-09 to 05-02-09" xfId="895"/>
    <cellStyle name="_pgvcl-costal_JND - 5_Weekly Urban PBR CO - 9-1-09 to 15.01.09" xfId="896"/>
    <cellStyle name="_pgvcl-costal_JND - 7" xfId="897"/>
    <cellStyle name="_pgvcl-costal_JND - 7 T3" xfId="898"/>
    <cellStyle name="_pgvcl-costal_JND - 7_JGY BM Cross FDR" xfId="899"/>
    <cellStyle name="_pgvcl-costal_JND T-3 MIS" xfId="900"/>
    <cellStyle name="_pgvcl-costal_JND-4" xfId="901"/>
    <cellStyle name="_pgvcl-costal_JND-4_Book-DMTHL" xfId="902"/>
    <cellStyle name="_pgvcl-costal_JND-4_Comparison" xfId="903"/>
    <cellStyle name="_pgvcl-costal_JND-4_Details of Selected Urban Feeder" xfId="904"/>
    <cellStyle name="_pgvcl-costal_JND-4_DHTHL JAN-09" xfId="905"/>
    <cellStyle name="_pgvcl-costal_JND-4_dnthl Feb-09" xfId="906"/>
    <cellStyle name="_pgvcl-costal_JND-4_JGY BM Cross FDR" xfId="907"/>
    <cellStyle name="_pgvcl-costal_JND-4_JGYssss" xfId="908"/>
    <cellStyle name="_pgvcl-costal_JND-4_PBR" xfId="909"/>
    <cellStyle name="_pgvcl-costal_JND-4_PBR CO_DAILY REPORT GIS - 20-01-09" xfId="910"/>
    <cellStyle name="_pgvcl-costal_JND-4_T&amp;D August-08" xfId="911"/>
    <cellStyle name="_pgvcl-costal_JND-4_T&amp;D Dec-08" xfId="912"/>
    <cellStyle name="_pgvcl-costal_JND-4_T&amp;D July-08" xfId="913"/>
    <cellStyle name="_pgvcl-costal_JND-4_URBAN WEEKLY PBR CO" xfId="914"/>
    <cellStyle name="_pgvcl-costal_JND-4_Weekly Urban PBR CO - 06-03-09 to 12-03-09" xfId="915"/>
    <cellStyle name="_pgvcl-costal_JND-4_Weekly Urban PBR CO - 20-02-09 to 26-02-09" xfId="916"/>
    <cellStyle name="_pgvcl-costal_JND-4_Weekly Urban PBR CO - 30-01-09 to 05-02-09" xfId="917"/>
    <cellStyle name="_pgvcl-costal_JND-4_Weekly Urban PBR CO - 9-1-09 to 15.01.09" xfId="918"/>
    <cellStyle name="_pgvcl-costal_JND-5" xfId="919"/>
    <cellStyle name="_pgvcl-costal_JND-5 July-07" xfId="920"/>
    <cellStyle name="_pgvcl-costal_JND-5 July-07_Accident - 2007-08 + 2008-09 -- 15.12.08" xfId="921"/>
    <cellStyle name="_pgvcl-costal_JND-5 July-07_Accident S-dn wise up to Nov. 08 for SE's Conference" xfId="922"/>
    <cellStyle name="_pgvcl-costal_JND-5 July-07_Book-DMTHL" xfId="923"/>
    <cellStyle name="_pgvcl-costal_JND-5 July-07_Comparison" xfId="924"/>
    <cellStyle name="_pgvcl-costal_JND-5 July-07_Details of Selected Urban Feeder" xfId="925"/>
    <cellStyle name="_pgvcl-costal_JND-5 July-07_DHTHL JAN-09" xfId="926"/>
    <cellStyle name="_pgvcl-costal_JND-5 July-07_dnthl Feb-09" xfId="927"/>
    <cellStyle name="_pgvcl-costal_JND-5 July-07_JGY BM Cross FDR" xfId="928"/>
    <cellStyle name="_pgvcl-costal_JND-5 July-07_JGYssss" xfId="929"/>
    <cellStyle name="_pgvcl-costal_JND-5 July-07_JMN-7" xfId="930"/>
    <cellStyle name="_pgvcl-costal_JND-5 July-07_JMN-7_JGY BM Cross FDR" xfId="931"/>
    <cellStyle name="_pgvcl-costal_JND-5 July-07_JMN-77" xfId="932"/>
    <cellStyle name="_pgvcl-costal_JND-5 July-07_JMN-77_JGY BM Cross FDR" xfId="933"/>
    <cellStyle name="_pgvcl-costal_JND-5 July-07_JND - 7 T3" xfId="934"/>
    <cellStyle name="_pgvcl-costal_JND-5 July-07_JND T-3 MIS" xfId="935"/>
    <cellStyle name="_pgvcl-costal_JND-5 July-07_JND-5 T3" xfId="936"/>
    <cellStyle name="_pgvcl-costal_JND-5 July-07_JND-50" xfId="937"/>
    <cellStyle name="_pgvcl-costal_JND-5 July-07_JND-7" xfId="938"/>
    <cellStyle name="_pgvcl-costal_JND-5 July-07_JND-7_JGY BM Cross FDR" xfId="939"/>
    <cellStyle name="_pgvcl-costal_JND-5 July-07_MIS Summary Jan-08" xfId="940"/>
    <cellStyle name="_pgvcl-costal_JND-5 July-07_MIS Summary Jan-08_Book-DMTHL" xfId="941"/>
    <cellStyle name="_pgvcl-costal_JND-5 July-07_MIS Summary Jan-08_Comparison" xfId="942"/>
    <cellStyle name="_pgvcl-costal_JND-5 July-07_MIS Summary Jan-08_Details of Selected Urban Feeder" xfId="943"/>
    <cellStyle name="_pgvcl-costal_JND-5 July-07_MIS Summary Jan-08_DHTHL JAN-09" xfId="944"/>
    <cellStyle name="_pgvcl-costal_JND-5 July-07_MIS Summary Jan-08_dnthl Feb-09" xfId="945"/>
    <cellStyle name="_pgvcl-costal_JND-5 July-07_MIS Summary Jan-08_JGY BM Cross FDR" xfId="946"/>
    <cellStyle name="_pgvcl-costal_JND-5 July-07_MIS Summary Jan-08_JGYssss" xfId="947"/>
    <cellStyle name="_pgvcl-costal_JND-5 July-07_MIS Summary Jan-08_PBR" xfId="948"/>
    <cellStyle name="_pgvcl-costal_JND-5 July-07_MIS Summary Jan-08_PBR CO_DAILY REPORT GIS - 20-01-09" xfId="949"/>
    <cellStyle name="_pgvcl-costal_JND-5 July-07_MIS Summary Jan-08_T&amp;D August-08" xfId="950"/>
    <cellStyle name="_pgvcl-costal_JND-5 July-07_MIS Summary Jan-08_T&amp;D Dec-08" xfId="951"/>
    <cellStyle name="_pgvcl-costal_JND-5 July-07_MIS Summary Jan-08_T&amp;D July-08" xfId="952"/>
    <cellStyle name="_pgvcl-costal_JND-5 July-07_MIS Summary Jan-08_URBAN WEEKLY PBR CO" xfId="953"/>
    <cellStyle name="_pgvcl-costal_JND-5 July-07_MIS Summary Jan-08_Weekly Urban PBR CO - 06-03-09 to 12-03-09" xfId="954"/>
    <cellStyle name="_pgvcl-costal_JND-5 July-07_MIS Summary Jan-08_Weekly Urban PBR CO - 20-02-09 to 26-02-09" xfId="955"/>
    <cellStyle name="_pgvcl-costal_JND-5 July-07_MIS Summary Jan-08_Weekly Urban PBR CO - 30-01-09 to 05-02-09" xfId="956"/>
    <cellStyle name="_pgvcl-costal_JND-5 July-07_MIS Summary Jan-08_Weekly Urban PBR CO - 9-1-09 to 15.01.09" xfId="957"/>
    <cellStyle name="_pgvcl-costal_JND-5 July-07_NEWMISFromJNDCircle-DEC07" xfId="958"/>
    <cellStyle name="_pgvcl-costal_JND-5 July-07_PBR" xfId="959"/>
    <cellStyle name="_pgvcl-costal_JND-5 July-07_PBR CO_DAILY REPORT GIS - 20-01-09" xfId="960"/>
    <cellStyle name="_pgvcl-costal_JND-5 July-07_PBR-7" xfId="961"/>
    <cellStyle name="_pgvcl-costal_JND-5 July-07_sept JMN-7" xfId="962"/>
    <cellStyle name="_pgvcl-costal_JND-5 July-07_T&amp;D August-08" xfId="963"/>
    <cellStyle name="_pgvcl-costal_JND-5 July-07_T&amp;D Dec-08" xfId="964"/>
    <cellStyle name="_pgvcl-costal_JND-5 July-07_T&amp;D July-08" xfId="965"/>
    <cellStyle name="_pgvcl-costal_JND-5 July-07_URBAN WEEKLY PBR CO" xfId="966"/>
    <cellStyle name="_pgvcl-costal_JND-5 July-07_Weekly Urban PBR CO - 06-03-09 to 12-03-09" xfId="967"/>
    <cellStyle name="_pgvcl-costal_JND-5 July-07_Weekly Urban PBR CO - 20-02-09 to 26-02-09" xfId="968"/>
    <cellStyle name="_pgvcl-costal_JND-5 July-07_Weekly Urban PBR CO - 30-01-09 to 05-02-09" xfId="969"/>
    <cellStyle name="_pgvcl-costal_JND-5 July-07_Weekly Urban PBR CO - 9-1-09 to 15.01.09" xfId="970"/>
    <cellStyle name="_pgvcl-costal_JND-5 T3" xfId="971"/>
    <cellStyle name="_pgvcl-costal_JND-5_1" xfId="972"/>
    <cellStyle name="_pgvcl-costal_JND-5_1_Book-DMTHL" xfId="973"/>
    <cellStyle name="_pgvcl-costal_JND-5_1_Comparison" xfId="974"/>
    <cellStyle name="_pgvcl-costal_JND-5_1_Details of Selected Urban Feeder" xfId="975"/>
    <cellStyle name="_pgvcl-costal_JND-5_1_DHTHL JAN-09" xfId="976"/>
    <cellStyle name="_pgvcl-costal_JND-5_1_dnthl Feb-09" xfId="977"/>
    <cellStyle name="_pgvcl-costal_JND-5_1_JGY BM Cross FDR" xfId="978"/>
    <cellStyle name="_pgvcl-costal_JND-5_1_JGYssss" xfId="979"/>
    <cellStyle name="_pgvcl-costal_JND-5_1_PBR" xfId="980"/>
    <cellStyle name="_pgvcl-costal_JND-5_1_PBR CO_DAILY REPORT GIS - 20-01-09" xfId="981"/>
    <cellStyle name="_pgvcl-costal_JND-5_1_T&amp;D August-08" xfId="982"/>
    <cellStyle name="_pgvcl-costal_JND-5_1_T&amp;D Dec-08" xfId="983"/>
    <cellStyle name="_pgvcl-costal_JND-5_1_T&amp;D July-08" xfId="984"/>
    <cellStyle name="_pgvcl-costal_JND-5_1_URBAN WEEKLY PBR CO" xfId="985"/>
    <cellStyle name="_pgvcl-costal_JND-5_1_Weekly Urban PBR CO - 06-03-09 to 12-03-09" xfId="986"/>
    <cellStyle name="_pgvcl-costal_JND-5_1_Weekly Urban PBR CO - 20-02-09 to 26-02-09" xfId="987"/>
    <cellStyle name="_pgvcl-costal_JND-5_1_Weekly Urban PBR CO - 30-01-09 to 05-02-09" xfId="988"/>
    <cellStyle name="_pgvcl-costal_JND-5_1_Weekly Urban PBR CO - 9-1-09 to 15.01.09" xfId="989"/>
    <cellStyle name="_pgvcl-costal_JND-5_Accident - 2007-08 + 2008-09 -- 15.12.08" xfId="990"/>
    <cellStyle name="_pgvcl-costal_JND-5_Accident S-dn wise up to Nov. 08 for SE's Conference" xfId="991"/>
    <cellStyle name="_pgvcl-costal_JND-5_AG TC METER " xfId="992"/>
    <cellStyle name="_pgvcl-costal_JND-5_AG TC METER _Book-DMTHL" xfId="993"/>
    <cellStyle name="_pgvcl-costal_JND-5_AG TC METER _Comparison" xfId="994"/>
    <cellStyle name="_pgvcl-costal_JND-5_AG TC METER _Details of Selected Urban Feeder" xfId="995"/>
    <cellStyle name="_pgvcl-costal_JND-5_AG TC METER _DHTHL JAN-09" xfId="996"/>
    <cellStyle name="_pgvcl-costal_JND-5_AG TC METER _dnthl Feb-09" xfId="997"/>
    <cellStyle name="_pgvcl-costal_JND-5_AG TC METER _JGY BM Cross FDR" xfId="998"/>
    <cellStyle name="_pgvcl-costal_JND-5_AG TC METER _JGYssss" xfId="999"/>
    <cellStyle name="_pgvcl-costal_JND-5_AG TC METER _PBR" xfId="1000"/>
    <cellStyle name="_pgvcl-costal_JND-5_AG TC METER _PBR CO_DAILY REPORT GIS - 20-01-09" xfId="1001"/>
    <cellStyle name="_pgvcl-costal_JND-5_AG TC METER _T&amp;D August-08" xfId="1002"/>
    <cellStyle name="_pgvcl-costal_JND-5_AG TC METER _T&amp;D Dec-08" xfId="1003"/>
    <cellStyle name="_pgvcl-costal_JND-5_AG TC METER _T&amp;D July-08" xfId="1004"/>
    <cellStyle name="_pgvcl-costal_JND-5_AG TC METER _URBAN WEEKLY PBR CO" xfId="1005"/>
    <cellStyle name="_pgvcl-costal_JND-5_AG TC METER _Weekly Urban PBR CO - 06-03-09 to 12-03-09" xfId="1006"/>
    <cellStyle name="_pgvcl-costal_JND-5_AG TC METER _Weekly Urban PBR CO - 20-02-09 to 26-02-09" xfId="1007"/>
    <cellStyle name="_pgvcl-costal_JND-5_AG TC METER _Weekly Urban PBR CO - 30-01-09 to 05-02-09" xfId="1008"/>
    <cellStyle name="_pgvcl-costal_JND-5_AG TC METER _Weekly Urban PBR CO - 9-1-09 to 15.01.09" xfId="1009"/>
    <cellStyle name="_pgvcl-costal_JND-5_Book-DMTHL" xfId="1010"/>
    <cellStyle name="_pgvcl-costal_JND-5_BVN-7" xfId="1011"/>
    <cellStyle name="_pgvcl-costal_JND-5_BVN-7_JGY BM Cross FDR" xfId="1012"/>
    <cellStyle name="_pgvcl-costal_JND-5_Comparison" xfId="1013"/>
    <cellStyle name="_pgvcl-costal_JND-5_Details of Selected Urban Feeder" xfId="1014"/>
    <cellStyle name="_pgvcl-costal_JND-5_DHTHL JAN-09" xfId="1015"/>
    <cellStyle name="_pgvcl-costal_JND-5_dnthl Feb-09" xfId="1016"/>
    <cellStyle name="_pgvcl-costal_JND-5_JGY BM Cross FDR" xfId="1017"/>
    <cellStyle name="_pgvcl-costal_JND-5_JGYssss" xfId="1018"/>
    <cellStyle name="_pgvcl-costal_JND-5_JMN-7" xfId="1019"/>
    <cellStyle name="_pgvcl-costal_JND-5_JMN-7_JGY BM Cross FDR" xfId="1020"/>
    <cellStyle name="_pgvcl-costal_JND-5_JMN-77" xfId="1021"/>
    <cellStyle name="_pgvcl-costal_JND-5_JMN-77_JGY BM Cross FDR" xfId="1022"/>
    <cellStyle name="_pgvcl-costal_JND-5_JND - 4" xfId="1023"/>
    <cellStyle name="_pgvcl-costal_JND-5_JND - 4_Book-DMTHL" xfId="1024"/>
    <cellStyle name="_pgvcl-costal_JND-5_JND - 4_Comparison" xfId="1025"/>
    <cellStyle name="_pgvcl-costal_JND-5_JND - 4_Details of Selected Urban Feeder" xfId="1026"/>
    <cellStyle name="_pgvcl-costal_JND-5_JND - 4_DHTHL JAN-09" xfId="1027"/>
    <cellStyle name="_pgvcl-costal_JND-5_JND - 4_dnthl Feb-09" xfId="1028"/>
    <cellStyle name="_pgvcl-costal_JND-5_JND - 4_JGY BM Cross FDR" xfId="1029"/>
    <cellStyle name="_pgvcl-costal_JND-5_JND - 4_JGYssss" xfId="1030"/>
    <cellStyle name="_pgvcl-costal_JND-5_JND - 4_PBR" xfId="1031"/>
    <cellStyle name="_pgvcl-costal_JND-5_JND - 4_PBR CO_DAILY REPORT GIS - 20-01-09" xfId="1032"/>
    <cellStyle name="_pgvcl-costal_JND-5_JND - 4_T&amp;D August-08" xfId="1033"/>
    <cellStyle name="_pgvcl-costal_JND-5_JND - 4_T&amp;D Dec-08" xfId="1034"/>
    <cellStyle name="_pgvcl-costal_JND-5_JND - 4_T&amp;D July-08" xfId="1035"/>
    <cellStyle name="_pgvcl-costal_JND-5_JND - 4_URBAN WEEKLY PBR CO" xfId="1036"/>
    <cellStyle name="_pgvcl-costal_JND-5_JND - 4_Weekly Urban PBR CO - 06-03-09 to 12-03-09" xfId="1037"/>
    <cellStyle name="_pgvcl-costal_JND-5_JND - 4_Weekly Urban PBR CO - 20-02-09 to 26-02-09" xfId="1038"/>
    <cellStyle name="_pgvcl-costal_JND-5_JND - 4_Weekly Urban PBR CO - 30-01-09 to 05-02-09" xfId="1039"/>
    <cellStyle name="_pgvcl-costal_JND-5_JND - 4_Weekly Urban PBR CO - 9-1-09 to 15.01.09" xfId="1040"/>
    <cellStyle name="_pgvcl-costal_JND-5_JND - 5" xfId="1041"/>
    <cellStyle name="_pgvcl-costal_JND-5_JND - 5 CFL" xfId="1042"/>
    <cellStyle name="_pgvcl-costal_JND-5_JND - 5 CFL_JGY BM Cross FDR" xfId="1043"/>
    <cellStyle name="_pgvcl-costal_JND-5_JND - 5_03.03.09 Accd, Coastal" xfId="1044"/>
    <cellStyle name="_pgvcl-costal_JND-5_JND - 5_Accd &amp; Coastal 24.08.09" xfId="1045"/>
    <cellStyle name="_pgvcl-costal_JND-5_JND - 5_Accd MOSE 04.08.09" xfId="1046"/>
    <cellStyle name="_pgvcl-costal_JND-5_JND - 5_Accident &amp; Coastal" xfId="1047"/>
    <cellStyle name="_pgvcl-costal_JND-5_JND - 5_Bill Pending - SEs Conf. 21.08.08" xfId="1048"/>
    <cellStyle name="_pgvcl-costal_JND-5_JND - 5_Bill Pending - SEs Conf. 21.08.08_JGY BM Cross FDR" xfId="1049"/>
    <cellStyle name="_pgvcl-costal_JND-5_JND - 5_BOARD 30-03-09" xfId="1050"/>
    <cellStyle name="_pgvcl-costal_JND-5_JND - 5_BOARD 30-03-09_JGY BM Cross FDR" xfId="1051"/>
    <cellStyle name="_pgvcl-costal_JND-5_JND - 5_Book-DMTHL" xfId="1052"/>
    <cellStyle name="_pgvcl-costal_JND-5_JND - 5_Circle wise Coastal" xfId="1053"/>
    <cellStyle name="_pgvcl-costal_JND-5_JND - 5_Coastal TS" xfId="1054"/>
    <cellStyle name="_pgvcl-costal_JND-5_JND - 5_Comparison" xfId="1055"/>
    <cellStyle name="_pgvcl-costal_JND-5_JND - 5_Details of Selected Urban Feeder" xfId="1056"/>
    <cellStyle name="_pgvcl-costal_JND-5_JND - 5_DHTHL JAN-09" xfId="1057"/>
    <cellStyle name="_pgvcl-costal_JND-5_JND - 5_dnthl Feb-09" xfId="1058"/>
    <cellStyle name="_pgvcl-costal_JND-5_JND - 5_HOD 16-04-09 Transformer" xfId="1059"/>
    <cellStyle name="_pgvcl-costal_JND-5_JND - 5_HOD 16-04-09 Transformer_JGY BM Cross FDR" xfId="1060"/>
    <cellStyle name="_pgvcl-costal_JND-5_JND - 5_JGY BM Cross FDR" xfId="1061"/>
    <cellStyle name="_pgvcl-costal_JND-5_JND - 5_JGYssss" xfId="1062"/>
    <cellStyle name="_pgvcl-costal_JND-5_JND - 5_Other Points 01.07.09" xfId="1063"/>
    <cellStyle name="_pgvcl-costal_JND-5_JND - 5_Other Points 16 04 09" xfId="1064"/>
    <cellStyle name="_pgvcl-costal_JND-5_JND - 5_PBR" xfId="1065"/>
    <cellStyle name="_pgvcl-costal_JND-5_JND - 5_PBR CO_DAILY REPORT GIS - 20-01-09" xfId="1066"/>
    <cellStyle name="_pgvcl-costal_JND-5_JND - 5_point 10 Accd Main file SEs Conf 11.02.08" xfId="1067"/>
    <cellStyle name="_pgvcl-costal_JND-5_JND - 5_Point 14.a Transformers Failure" xfId="1068"/>
    <cellStyle name="_pgvcl-costal_JND-5_JND - 5_Point 14.a Transformers Failure_JGY BM Cross FDR" xfId="1069"/>
    <cellStyle name="_pgvcl-costal_JND-5_JND - 5_point 20. Accident" xfId="1070"/>
    <cellStyle name="_pgvcl-costal_JND-5_JND - 5_point 20. Accident_JGY BM Cross FDR" xfId="1071"/>
    <cellStyle name="_pgvcl-costal_JND-5_JND - 5_SE 14-05-09" xfId="1072"/>
    <cellStyle name="_pgvcl-costal_JND-5_JND - 5_SE 14-05-09_JGY BM Cross FDR" xfId="1073"/>
    <cellStyle name="_pgvcl-costal_JND-5_JND - 5_SEs Conf 16 06 09 Tech - 2 details" xfId="1074"/>
    <cellStyle name="_pgvcl-costal_JND-5_JND - 5_SEs Conf. 14.12.2008" xfId="1075"/>
    <cellStyle name="_pgvcl-costal_JND-5_JND - 5_SEs Conf. 14.12.2008_JGY BM Cross FDR" xfId="1076"/>
    <cellStyle name="_pgvcl-costal_JND-5_JND - 5_T&amp;D August-08" xfId="1077"/>
    <cellStyle name="_pgvcl-costal_JND-5_JND - 5_T&amp;D Dec-08" xfId="1078"/>
    <cellStyle name="_pgvcl-costal_JND-5_JND - 5_T&amp;D July-08" xfId="1079"/>
    <cellStyle name="_pgvcl-costal_JND-5_JND - 5_t-2Other Points 14.05.09" xfId="1080"/>
    <cellStyle name="_pgvcl-costal_JND-5_JND - 5_TECH-2 SOFT COPY" xfId="1081"/>
    <cellStyle name="_pgvcl-costal_JND-5_JND - 5_URBAN WEEKLY PBR CO" xfId="1082"/>
    <cellStyle name="_pgvcl-costal_JND-5_JND - 5_Weekly Urban PBR CO - 06-03-09 to 12-03-09" xfId="1083"/>
    <cellStyle name="_pgvcl-costal_JND-5_JND - 5_Weekly Urban PBR CO - 20-02-09 to 26-02-09" xfId="1084"/>
    <cellStyle name="_pgvcl-costal_JND-5_JND - 5_Weekly Urban PBR CO - 30-01-09 to 05-02-09" xfId="1085"/>
    <cellStyle name="_pgvcl-costal_JND-5_JND - 5_Weekly Urban PBR CO - 9-1-09 to 15.01.09" xfId="1086"/>
    <cellStyle name="_pgvcl-costal_JND-5_JND - 7" xfId="1087"/>
    <cellStyle name="_pgvcl-costal_JND-5_JND - 7 T3" xfId="1088"/>
    <cellStyle name="_pgvcl-costal_JND-5_JND - 7_JGY BM Cross FDR" xfId="1089"/>
    <cellStyle name="_pgvcl-costal_JND-5_JND 50" xfId="1090"/>
    <cellStyle name="_pgvcl-costal_JND-5_JND 50_JGY BM Cross FDR" xfId="1091"/>
    <cellStyle name="_pgvcl-costal_JND-5_JND T-3 MIS" xfId="1092"/>
    <cellStyle name="_pgvcl-costal_JND-5_JND-4" xfId="1093"/>
    <cellStyle name="_pgvcl-costal_JND-5_JND-4_Book-DMTHL" xfId="1094"/>
    <cellStyle name="_pgvcl-costal_JND-5_JND-4_Comparison" xfId="1095"/>
    <cellStyle name="_pgvcl-costal_JND-5_JND-4_Details of Selected Urban Feeder" xfId="1096"/>
    <cellStyle name="_pgvcl-costal_JND-5_JND-4_DHTHL JAN-09" xfId="1097"/>
    <cellStyle name="_pgvcl-costal_JND-5_JND-4_dnthl Feb-09" xfId="1098"/>
    <cellStyle name="_pgvcl-costal_JND-5_JND-4_JGY BM Cross FDR" xfId="1099"/>
    <cellStyle name="_pgvcl-costal_JND-5_JND-4_JGYssss" xfId="1100"/>
    <cellStyle name="_pgvcl-costal_JND-5_JND-4_PBR" xfId="1101"/>
    <cellStyle name="_pgvcl-costal_JND-5_JND-4_PBR CO_DAILY REPORT GIS - 20-01-09" xfId="1102"/>
    <cellStyle name="_pgvcl-costal_JND-5_JND-4_T&amp;D August-08" xfId="1103"/>
    <cellStyle name="_pgvcl-costal_JND-5_JND-4_T&amp;D Dec-08" xfId="1104"/>
    <cellStyle name="_pgvcl-costal_JND-5_JND-4_T&amp;D July-08" xfId="1105"/>
    <cellStyle name="_pgvcl-costal_JND-5_JND-4_URBAN WEEKLY PBR CO" xfId="1106"/>
    <cellStyle name="_pgvcl-costal_JND-5_JND-4_Weekly Urban PBR CO - 06-03-09 to 12-03-09" xfId="1107"/>
    <cellStyle name="_pgvcl-costal_JND-5_JND-4_Weekly Urban PBR CO - 20-02-09 to 26-02-09" xfId="1108"/>
    <cellStyle name="_pgvcl-costal_JND-5_JND-4_Weekly Urban PBR CO - 30-01-09 to 05-02-09" xfId="1109"/>
    <cellStyle name="_pgvcl-costal_JND-5_JND-4_Weekly Urban PBR CO - 9-1-09 to 15.01.09" xfId="1110"/>
    <cellStyle name="_pgvcl-costal_JND-5_JND-5" xfId="1111"/>
    <cellStyle name="_pgvcl-costal_JND-5_JND-5 T3" xfId="1112"/>
    <cellStyle name="_pgvcl-costal_JND-5_JND-5_Book-DMTHL" xfId="1113"/>
    <cellStyle name="_pgvcl-costal_JND-5_JND-5_Comparison" xfId="1114"/>
    <cellStyle name="_pgvcl-costal_JND-5_JND-5_Details of Selected Urban Feeder" xfId="1115"/>
    <cellStyle name="_pgvcl-costal_JND-5_JND-5_DHTHL JAN-09" xfId="1116"/>
    <cellStyle name="_pgvcl-costal_JND-5_JND-5_dnthl Feb-09" xfId="1117"/>
    <cellStyle name="_pgvcl-costal_JND-5_JND-5_JGY BM Cross FDR" xfId="1118"/>
    <cellStyle name="_pgvcl-costal_JND-5_JND-5_JGYssss" xfId="1119"/>
    <cellStyle name="_pgvcl-costal_JND-5_JND-5_PBR" xfId="1120"/>
    <cellStyle name="_pgvcl-costal_JND-5_JND-5_PBR CO_DAILY REPORT GIS - 20-01-09" xfId="1121"/>
    <cellStyle name="_pgvcl-costal_JND-5_JND-5_T&amp;D August-08" xfId="1122"/>
    <cellStyle name="_pgvcl-costal_JND-5_JND-5_T&amp;D Dec-08" xfId="1123"/>
    <cellStyle name="_pgvcl-costal_JND-5_JND-5_T&amp;D July-08" xfId="1124"/>
    <cellStyle name="_pgvcl-costal_JND-5_JND-5_URBAN WEEKLY PBR CO" xfId="1125"/>
    <cellStyle name="_pgvcl-costal_JND-5_JND-5_Weekly Urban PBR CO - 06-03-09 to 12-03-09" xfId="1126"/>
    <cellStyle name="_pgvcl-costal_JND-5_JND-5_Weekly Urban PBR CO - 20-02-09 to 26-02-09" xfId="1127"/>
    <cellStyle name="_pgvcl-costal_JND-5_JND-5_Weekly Urban PBR CO - 30-01-09 to 05-02-09" xfId="1128"/>
    <cellStyle name="_pgvcl-costal_JND-5_JND-5_Weekly Urban PBR CO - 9-1-09 to 15.01.09" xfId="1129"/>
    <cellStyle name="_pgvcl-costal_JND-5_JND-50" xfId="1130"/>
    <cellStyle name="_pgvcl-costal_JND-5_JND-50_1" xfId="1131"/>
    <cellStyle name="_pgvcl-costal_JND-5_JND-50_Book-DMTHL" xfId="1132"/>
    <cellStyle name="_pgvcl-costal_JND-5_JND-50_Comparison" xfId="1133"/>
    <cellStyle name="_pgvcl-costal_JND-5_JND-50_Details of Selected Urban Feeder" xfId="1134"/>
    <cellStyle name="_pgvcl-costal_JND-5_JND-50_DHTHL JAN-09" xfId="1135"/>
    <cellStyle name="_pgvcl-costal_JND-5_JND-50_dnthl Feb-09" xfId="1136"/>
    <cellStyle name="_pgvcl-costal_JND-5_JND-50_JGY BM Cross FDR" xfId="1137"/>
    <cellStyle name="_pgvcl-costal_JND-5_JND-50_JGYssss" xfId="1138"/>
    <cellStyle name="_pgvcl-costal_JND-5_JND-50_PBR" xfId="1139"/>
    <cellStyle name="_pgvcl-costal_JND-5_JND-50_PBR CO_DAILY REPORT GIS - 20-01-09" xfId="1140"/>
    <cellStyle name="_pgvcl-costal_JND-5_JND-50_T&amp;D August-08" xfId="1141"/>
    <cellStyle name="_pgvcl-costal_JND-5_JND-50_T&amp;D Dec-08" xfId="1142"/>
    <cellStyle name="_pgvcl-costal_JND-5_JND-50_T&amp;D July-08" xfId="1143"/>
    <cellStyle name="_pgvcl-costal_JND-5_JND-50_URBAN WEEKLY PBR CO" xfId="1144"/>
    <cellStyle name="_pgvcl-costal_JND-5_JND-50_Weekly Urban PBR CO - 06-03-09 to 12-03-09" xfId="1145"/>
    <cellStyle name="_pgvcl-costal_JND-5_JND-50_Weekly Urban PBR CO - 20-02-09 to 26-02-09" xfId="1146"/>
    <cellStyle name="_pgvcl-costal_JND-5_JND-50_Weekly Urban PBR CO - 30-01-09 to 05-02-09" xfId="1147"/>
    <cellStyle name="_pgvcl-costal_JND-5_JND-50_Weekly Urban PBR CO - 9-1-09 to 15.01.09" xfId="1148"/>
    <cellStyle name="_pgvcl-costal_JND-5_JND-51" xfId="1149"/>
    <cellStyle name="_pgvcl-costal_JND-5_JND-51_03.03.09 Accd, Coastal" xfId="1150"/>
    <cellStyle name="_pgvcl-costal_JND-5_JND-51_Accd &amp; Coastal 24.08.09" xfId="1151"/>
    <cellStyle name="_pgvcl-costal_JND-5_JND-51_Accd MOSE 04.08.09" xfId="1152"/>
    <cellStyle name="_pgvcl-costal_JND-5_JND-51_Accident &amp; Coastal" xfId="1153"/>
    <cellStyle name="_pgvcl-costal_JND-5_JND-51_Bill Pending - SEs Conf. 21.08.08" xfId="1154"/>
    <cellStyle name="_pgvcl-costal_JND-5_JND-51_Bill Pending - SEs Conf. 21.08.08_JGY BM Cross FDR" xfId="1155"/>
    <cellStyle name="_pgvcl-costal_JND-5_JND-51_BOARD 30-03-09" xfId="1156"/>
    <cellStyle name="_pgvcl-costal_JND-5_JND-51_BOARD 30-03-09_JGY BM Cross FDR" xfId="1157"/>
    <cellStyle name="_pgvcl-costal_JND-5_JND-51_Book-DMTHL" xfId="1158"/>
    <cellStyle name="_pgvcl-costal_JND-5_JND-51_Circle wise Coastal" xfId="1159"/>
    <cellStyle name="_pgvcl-costal_JND-5_JND-51_Coastal TS" xfId="1160"/>
    <cellStyle name="_pgvcl-costal_JND-5_JND-51_Comparison" xfId="1161"/>
    <cellStyle name="_pgvcl-costal_JND-5_JND-51_Details of Selected Urban Feeder" xfId="1162"/>
    <cellStyle name="_pgvcl-costal_JND-5_JND-51_DHTHL JAN-09" xfId="1163"/>
    <cellStyle name="_pgvcl-costal_JND-5_JND-51_dnthl Feb-09" xfId="1164"/>
    <cellStyle name="_pgvcl-costal_JND-5_JND-51_HOD 16-04-09 Transformer" xfId="1165"/>
    <cellStyle name="_pgvcl-costal_JND-5_JND-51_HOD 16-04-09 Transformer_JGY BM Cross FDR" xfId="1166"/>
    <cellStyle name="_pgvcl-costal_JND-5_JND-51_JGY BM Cross FDR" xfId="1167"/>
    <cellStyle name="_pgvcl-costal_JND-5_JND-51_JGYssss" xfId="1168"/>
    <cellStyle name="_pgvcl-costal_JND-5_JND-51_JND - 5" xfId="1169"/>
    <cellStyle name="_pgvcl-costal_JND-5_JND-51_JND - 5_03.03.09 Accd, Coastal" xfId="1170"/>
    <cellStyle name="_pgvcl-costal_JND-5_JND-51_JND - 5_Accd &amp; Coastal 24.08.09" xfId="1171"/>
    <cellStyle name="_pgvcl-costal_JND-5_JND-51_JND - 5_Accd MOSE 04.08.09" xfId="1172"/>
    <cellStyle name="_pgvcl-costal_JND-5_JND-51_JND - 5_Accident &amp; Coastal" xfId="1173"/>
    <cellStyle name="_pgvcl-costal_JND-5_JND-51_JND - 5_Bill Pending - SEs Conf. 21.08.08" xfId="1174"/>
    <cellStyle name="_pgvcl-costal_JND-5_JND-51_JND - 5_Bill Pending - SEs Conf. 21.08.08_JGY BM Cross FDR" xfId="1175"/>
    <cellStyle name="_pgvcl-costal_JND-5_JND-51_JND - 5_BOARD 30-03-09" xfId="1176"/>
    <cellStyle name="_pgvcl-costal_JND-5_JND-51_JND - 5_BOARD 30-03-09_JGY BM Cross FDR" xfId="1177"/>
    <cellStyle name="_pgvcl-costal_JND-5_JND-51_JND - 5_Book-DMTHL" xfId="1178"/>
    <cellStyle name="_pgvcl-costal_JND-5_JND-51_JND - 5_Circle wise Coastal" xfId="1179"/>
    <cellStyle name="_pgvcl-costal_JND-5_JND-51_JND - 5_Coastal TS" xfId="1180"/>
    <cellStyle name="_pgvcl-costal_JND-5_JND-51_JND - 5_Comparison" xfId="1181"/>
    <cellStyle name="_pgvcl-costal_JND-5_JND-51_JND - 5_Details of Selected Urban Feeder" xfId="1182"/>
    <cellStyle name="_pgvcl-costal_JND-5_JND-51_JND - 5_DHTHL JAN-09" xfId="1183"/>
    <cellStyle name="_pgvcl-costal_JND-5_JND-51_JND - 5_dnthl Feb-09" xfId="1184"/>
    <cellStyle name="_pgvcl-costal_JND-5_JND-51_JND - 5_HOD 16-04-09 Transformer" xfId="1185"/>
    <cellStyle name="_pgvcl-costal_JND-5_JND-51_JND - 5_HOD 16-04-09 Transformer_JGY BM Cross FDR" xfId="1186"/>
    <cellStyle name="_pgvcl-costal_JND-5_JND-51_JND - 5_JGY BM Cross FDR" xfId="1187"/>
    <cellStyle name="_pgvcl-costal_JND-5_JND-51_JND - 5_JGYssss" xfId="1188"/>
    <cellStyle name="_pgvcl-costal_JND-5_JND-51_JND - 5_Other Points 01.07.09" xfId="1189"/>
    <cellStyle name="_pgvcl-costal_JND-5_JND-51_JND - 5_Other Points 16 04 09" xfId="1190"/>
    <cellStyle name="_pgvcl-costal_JND-5_JND-51_JND - 5_PBR" xfId="1191"/>
    <cellStyle name="_pgvcl-costal_JND-5_JND-51_JND - 5_PBR CO_DAILY REPORT GIS - 20-01-09" xfId="1192"/>
    <cellStyle name="_pgvcl-costal_JND-5_JND-51_JND - 5_point 10 Accd Main file SEs Conf 11.02.08" xfId="1193"/>
    <cellStyle name="_pgvcl-costal_JND-5_JND-51_JND - 5_Point 14.a Transformers Failure" xfId="1194"/>
    <cellStyle name="_pgvcl-costal_JND-5_JND-51_JND - 5_Point 14.a Transformers Failure_JGY BM Cross FDR" xfId="1195"/>
    <cellStyle name="_pgvcl-costal_JND-5_JND-51_JND - 5_point 20. Accident" xfId="1196"/>
    <cellStyle name="_pgvcl-costal_JND-5_JND-51_JND - 5_point 20. Accident_JGY BM Cross FDR" xfId="1197"/>
    <cellStyle name="_pgvcl-costal_JND-5_JND-51_JND - 5_SE 14-05-09" xfId="1198"/>
    <cellStyle name="_pgvcl-costal_JND-5_JND-51_JND - 5_SE 14-05-09_JGY BM Cross FDR" xfId="1199"/>
    <cellStyle name="_pgvcl-costal_JND-5_JND-51_JND - 5_SEs Conf 16 06 09 Tech - 2 details" xfId="1200"/>
    <cellStyle name="_pgvcl-costal_JND-5_JND-51_JND - 5_SEs Conf. 14.12.2008" xfId="1201"/>
    <cellStyle name="_pgvcl-costal_JND-5_JND-51_JND - 5_SEs Conf. 14.12.2008_JGY BM Cross FDR" xfId="1202"/>
    <cellStyle name="_pgvcl-costal_JND-5_JND-51_JND - 5_T&amp;D August-08" xfId="1203"/>
    <cellStyle name="_pgvcl-costal_JND-5_JND-51_JND - 5_T&amp;D Dec-08" xfId="1204"/>
    <cellStyle name="_pgvcl-costal_JND-5_JND-51_JND - 5_T&amp;D July-08" xfId="1205"/>
    <cellStyle name="_pgvcl-costal_JND-5_JND-51_JND - 5_t-2Other Points 14.05.09" xfId="1206"/>
    <cellStyle name="_pgvcl-costal_JND-5_JND-51_JND - 5_TECH-2 SOFT COPY" xfId="1207"/>
    <cellStyle name="_pgvcl-costal_JND-5_JND-51_JND - 5_URBAN WEEKLY PBR CO" xfId="1208"/>
    <cellStyle name="_pgvcl-costal_JND-5_JND-51_JND - 5_Weekly Urban PBR CO - 06-03-09 to 12-03-09" xfId="1209"/>
    <cellStyle name="_pgvcl-costal_JND-5_JND-51_JND - 5_Weekly Urban PBR CO - 20-02-09 to 26-02-09" xfId="1210"/>
    <cellStyle name="_pgvcl-costal_JND-5_JND-51_JND - 5_Weekly Urban PBR CO - 30-01-09 to 05-02-09" xfId="1211"/>
    <cellStyle name="_pgvcl-costal_JND-5_JND-51_JND - 5_Weekly Urban PBR CO - 9-1-09 to 15.01.09" xfId="1212"/>
    <cellStyle name="_pgvcl-costal_JND-5_JND-51_NEW MIS Jan - 08" xfId="1213"/>
    <cellStyle name="_pgvcl-costal_JND-5_JND-51_NEW MIS Jan - 08_Book-DMTHL" xfId="1214"/>
    <cellStyle name="_pgvcl-costal_JND-5_JND-51_NEW MIS Jan - 08_Comparison" xfId="1215"/>
    <cellStyle name="_pgvcl-costal_JND-5_JND-51_NEW MIS Jan - 08_Details of Selected Urban Feeder" xfId="1216"/>
    <cellStyle name="_pgvcl-costal_JND-5_JND-51_NEW MIS Jan - 08_DHTHL JAN-09" xfId="1217"/>
    <cellStyle name="_pgvcl-costal_JND-5_JND-51_NEW MIS Jan - 08_dnthl Feb-09" xfId="1218"/>
    <cellStyle name="_pgvcl-costal_JND-5_JND-51_NEW MIS Jan - 08_JGY BM Cross FDR" xfId="1219"/>
    <cellStyle name="_pgvcl-costal_JND-5_JND-51_NEW MIS Jan - 08_JGYssss" xfId="1220"/>
    <cellStyle name="_pgvcl-costal_JND-5_JND-51_NEW MIS Jan - 08_PBR" xfId="1221"/>
    <cellStyle name="_pgvcl-costal_JND-5_JND-51_NEW MIS Jan - 08_PBR CO_DAILY REPORT GIS - 20-01-09" xfId="1222"/>
    <cellStyle name="_pgvcl-costal_JND-5_JND-51_NEW MIS Jan - 08_T&amp;D August-08" xfId="1223"/>
    <cellStyle name="_pgvcl-costal_JND-5_JND-51_NEW MIS Jan - 08_T&amp;D Dec-08" xfId="1224"/>
    <cellStyle name="_pgvcl-costal_JND-5_JND-51_NEW MIS Jan - 08_T&amp;D July-08" xfId="1225"/>
    <cellStyle name="_pgvcl-costal_JND-5_JND-51_NEW MIS Jan - 08_URBAN WEEKLY PBR CO" xfId="1226"/>
    <cellStyle name="_pgvcl-costal_JND-5_JND-51_NEW MIS Jan - 08_Weekly Urban PBR CO - 06-03-09 to 12-03-09" xfId="1227"/>
    <cellStyle name="_pgvcl-costal_JND-5_JND-51_NEW MIS Jan - 08_Weekly Urban PBR CO - 20-02-09 to 26-02-09" xfId="1228"/>
    <cellStyle name="_pgvcl-costal_JND-5_JND-51_NEW MIS Jan - 08_Weekly Urban PBR CO - 30-01-09 to 05-02-09" xfId="1229"/>
    <cellStyle name="_pgvcl-costal_JND-5_JND-51_NEW MIS Jan - 08_Weekly Urban PBR CO - 9-1-09 to 15.01.09" xfId="1230"/>
    <cellStyle name="_pgvcl-costal_JND-5_JND-51_NEWMISFromJNDCircle-DEC07" xfId="1231"/>
    <cellStyle name="_pgvcl-costal_JND-5_JND-51_Other Points 01.07.09" xfId="1232"/>
    <cellStyle name="_pgvcl-costal_JND-5_JND-51_Other Points 16 04 09" xfId="1233"/>
    <cellStyle name="_pgvcl-costal_JND-5_JND-51_PBR" xfId="1234"/>
    <cellStyle name="_pgvcl-costal_JND-5_JND-51_PBR CO_DAILY REPORT GIS - 20-01-09" xfId="1235"/>
    <cellStyle name="_pgvcl-costal_JND-5_JND-51_point 10 Accd Main file SEs Conf 11.02.08" xfId="1236"/>
    <cellStyle name="_pgvcl-costal_JND-5_JND-51_Point 14.a Transformers Failure" xfId="1237"/>
    <cellStyle name="_pgvcl-costal_JND-5_JND-51_Point 14.a Transformers Failure_JGY BM Cross FDR" xfId="1238"/>
    <cellStyle name="_pgvcl-costal_JND-5_JND-51_point 20. Accident" xfId="1239"/>
    <cellStyle name="_pgvcl-costal_JND-5_JND-51_point 20. Accident_JGY BM Cross FDR" xfId="1240"/>
    <cellStyle name="_pgvcl-costal_JND-5_JND-51_SE 14-05-09" xfId="1241"/>
    <cellStyle name="_pgvcl-costal_JND-5_JND-51_SE 14-05-09_JGY BM Cross FDR" xfId="1242"/>
    <cellStyle name="_pgvcl-costal_JND-5_JND-51_SEs Conf 16 06 09 Tech - 2 details" xfId="1243"/>
    <cellStyle name="_pgvcl-costal_JND-5_JND-51_SEs Conf. 14.12.2008" xfId="1244"/>
    <cellStyle name="_pgvcl-costal_JND-5_JND-51_SEs Conf. 14.12.2008_JGY BM Cross FDR" xfId="1245"/>
    <cellStyle name="_pgvcl-costal_JND-5_JND-51_T&amp;D August-08" xfId="1246"/>
    <cellStyle name="_pgvcl-costal_JND-5_JND-51_T&amp;D Dec-08" xfId="1247"/>
    <cellStyle name="_pgvcl-costal_JND-5_JND-51_T&amp;D July-08" xfId="1248"/>
    <cellStyle name="_pgvcl-costal_JND-5_JND-51_t-2Other Points 14.05.09" xfId="1249"/>
    <cellStyle name="_pgvcl-costal_JND-5_JND-51_TECH-2 SOFT COPY" xfId="1250"/>
    <cellStyle name="_pgvcl-costal_JND-5_JND-51_URBAN WEEKLY PBR CO" xfId="1251"/>
    <cellStyle name="_pgvcl-costal_JND-5_JND-51_Weekly Urban PBR CO - 06-03-09 to 12-03-09" xfId="1252"/>
    <cellStyle name="_pgvcl-costal_JND-5_JND-51_Weekly Urban PBR CO - 20-02-09 to 26-02-09" xfId="1253"/>
    <cellStyle name="_pgvcl-costal_JND-5_JND-51_Weekly Urban PBR CO - 30-01-09 to 05-02-09" xfId="1254"/>
    <cellStyle name="_pgvcl-costal_JND-5_JND-51_Weekly Urban PBR CO - 9-1-09 to 15.01.09" xfId="1255"/>
    <cellStyle name="_pgvcl-costal_JND-5_JND-7" xfId="1256"/>
    <cellStyle name="_pgvcl-costal_JND-5_JND-7_JGY BM Cross FDR" xfId="1257"/>
    <cellStyle name="_pgvcl-costal_JND-5_MIS" xfId="1258"/>
    <cellStyle name="_pgvcl-costal_JND-5_MIS Dec - 07" xfId="1259"/>
    <cellStyle name="_pgvcl-costal_JND-5_MIS Dec - 07_Book-DMTHL" xfId="1260"/>
    <cellStyle name="_pgvcl-costal_JND-5_MIS Dec - 07_Comparison" xfId="1261"/>
    <cellStyle name="_pgvcl-costal_JND-5_MIS Dec - 07_Details of Selected Urban Feeder" xfId="1262"/>
    <cellStyle name="_pgvcl-costal_JND-5_MIS Dec - 07_DHTHL JAN-09" xfId="1263"/>
    <cellStyle name="_pgvcl-costal_JND-5_MIS Dec - 07_dnthl Feb-09" xfId="1264"/>
    <cellStyle name="_pgvcl-costal_JND-5_MIS Dec - 07_JGY BM Cross FDR" xfId="1265"/>
    <cellStyle name="_pgvcl-costal_JND-5_MIS Dec - 07_JGYssss" xfId="1266"/>
    <cellStyle name="_pgvcl-costal_JND-5_MIS Dec - 07_JND - 7 T3" xfId="1267"/>
    <cellStyle name="_pgvcl-costal_JND-5_MIS Dec - 07_JND T-3 MIS" xfId="1268"/>
    <cellStyle name="_pgvcl-costal_JND-5_MIS Dec - 07_JND-5 T3" xfId="1269"/>
    <cellStyle name="_pgvcl-costal_JND-5_MIS Dec - 07_PBR" xfId="1270"/>
    <cellStyle name="_pgvcl-costal_JND-5_MIS Dec - 07_PBR CO_DAILY REPORT GIS - 20-01-09" xfId="1271"/>
    <cellStyle name="_pgvcl-costal_JND-5_MIS Dec - 07_T&amp;D August-08" xfId="1272"/>
    <cellStyle name="_pgvcl-costal_JND-5_MIS Dec - 07_T&amp;D Dec-08" xfId="1273"/>
    <cellStyle name="_pgvcl-costal_JND-5_MIS Dec - 07_T&amp;D July-08" xfId="1274"/>
    <cellStyle name="_pgvcl-costal_JND-5_MIS Dec - 07_URBAN WEEKLY PBR CO" xfId="1275"/>
    <cellStyle name="_pgvcl-costal_JND-5_MIS Dec - 07_Weekly Urban PBR CO - 06-03-09 to 12-03-09" xfId="1276"/>
    <cellStyle name="_pgvcl-costal_JND-5_MIS Dec - 07_Weekly Urban PBR CO - 20-02-09 to 26-02-09" xfId="1277"/>
    <cellStyle name="_pgvcl-costal_JND-5_MIS Dec - 07_Weekly Urban PBR CO - 30-01-09 to 05-02-09" xfId="1278"/>
    <cellStyle name="_pgvcl-costal_JND-5_MIS Dec - 07_Weekly Urban PBR CO - 9-1-09 to 15.01.09" xfId="1279"/>
    <cellStyle name="_pgvcl-costal_JND-5_MIS Jan - 08" xfId="1280"/>
    <cellStyle name="_pgvcl-costal_JND-5_MIS Jan - 08_Book-DMTHL" xfId="1281"/>
    <cellStyle name="_pgvcl-costal_JND-5_MIS Jan - 08_Comparison" xfId="1282"/>
    <cellStyle name="_pgvcl-costal_JND-5_MIS Jan - 08_Details of Selected Urban Feeder" xfId="1283"/>
    <cellStyle name="_pgvcl-costal_JND-5_MIS Jan - 08_DHTHL JAN-09" xfId="1284"/>
    <cellStyle name="_pgvcl-costal_JND-5_MIS Jan - 08_dnthl Feb-09" xfId="1285"/>
    <cellStyle name="_pgvcl-costal_JND-5_MIS Jan - 08_JGY BM Cross FDR" xfId="1286"/>
    <cellStyle name="_pgvcl-costal_JND-5_MIS Jan - 08_JGYssss" xfId="1287"/>
    <cellStyle name="_pgvcl-costal_JND-5_MIS Jan - 08_PBR" xfId="1288"/>
    <cellStyle name="_pgvcl-costal_JND-5_MIS Jan - 08_PBR CO_DAILY REPORT GIS - 20-01-09" xfId="1289"/>
    <cellStyle name="_pgvcl-costal_JND-5_MIS Jan - 08_T&amp;D August-08" xfId="1290"/>
    <cellStyle name="_pgvcl-costal_JND-5_MIS Jan - 08_T&amp;D Dec-08" xfId="1291"/>
    <cellStyle name="_pgvcl-costal_JND-5_MIS Jan - 08_T&amp;D July-08" xfId="1292"/>
    <cellStyle name="_pgvcl-costal_JND-5_MIS Jan - 08_URBAN WEEKLY PBR CO" xfId="1293"/>
    <cellStyle name="_pgvcl-costal_JND-5_MIS Jan - 08_Weekly Urban PBR CO - 06-03-09 to 12-03-09" xfId="1294"/>
    <cellStyle name="_pgvcl-costal_JND-5_MIS Jan - 08_Weekly Urban PBR CO - 20-02-09 to 26-02-09" xfId="1295"/>
    <cellStyle name="_pgvcl-costal_JND-5_MIS Jan - 08_Weekly Urban PBR CO - 30-01-09 to 05-02-09" xfId="1296"/>
    <cellStyle name="_pgvcl-costal_JND-5_MIS Jan - 08_Weekly Urban PBR CO - 9-1-09 to 15.01.09" xfId="1297"/>
    <cellStyle name="_pgvcl-costal_JND-5_MIS Nov - 07" xfId="1298"/>
    <cellStyle name="_pgvcl-costal_JND-5_MIS Summary Jan-08" xfId="1299"/>
    <cellStyle name="_pgvcl-costal_JND-5_MIS Summary Jan-08_Book-DMTHL" xfId="1300"/>
    <cellStyle name="_pgvcl-costal_JND-5_MIS Summary Jan-08_Comparison" xfId="1301"/>
    <cellStyle name="_pgvcl-costal_JND-5_MIS Summary Jan-08_Details of Selected Urban Feeder" xfId="1302"/>
    <cellStyle name="_pgvcl-costal_JND-5_MIS Summary Jan-08_DHTHL JAN-09" xfId="1303"/>
    <cellStyle name="_pgvcl-costal_JND-5_MIS Summary Jan-08_dnthl Feb-09" xfId="1304"/>
    <cellStyle name="_pgvcl-costal_JND-5_MIS Summary Jan-08_JGY BM Cross FDR" xfId="1305"/>
    <cellStyle name="_pgvcl-costal_JND-5_MIS Summary Jan-08_JGYssss" xfId="1306"/>
    <cellStyle name="_pgvcl-costal_JND-5_MIS Summary Jan-08_PBR" xfId="1307"/>
    <cellStyle name="_pgvcl-costal_JND-5_MIS Summary Jan-08_PBR CO_DAILY REPORT GIS - 20-01-09" xfId="1308"/>
    <cellStyle name="_pgvcl-costal_JND-5_MIS Summary Jan-08_T&amp;D August-08" xfId="1309"/>
    <cellStyle name="_pgvcl-costal_JND-5_MIS Summary Jan-08_T&amp;D Dec-08" xfId="1310"/>
    <cellStyle name="_pgvcl-costal_JND-5_MIS Summary Jan-08_T&amp;D July-08" xfId="1311"/>
    <cellStyle name="_pgvcl-costal_JND-5_MIS Summary Jan-08_URBAN WEEKLY PBR CO" xfId="1312"/>
    <cellStyle name="_pgvcl-costal_JND-5_MIS Summary Jan-08_Weekly Urban PBR CO - 06-03-09 to 12-03-09" xfId="1313"/>
    <cellStyle name="_pgvcl-costal_JND-5_MIS Summary Jan-08_Weekly Urban PBR CO - 20-02-09 to 26-02-09" xfId="1314"/>
    <cellStyle name="_pgvcl-costal_JND-5_MIS Summary Jan-08_Weekly Urban PBR CO - 30-01-09 to 05-02-09" xfId="1315"/>
    <cellStyle name="_pgvcl-costal_JND-5_MIS Summary Jan-08_Weekly Urban PBR CO - 9-1-09 to 15.01.09" xfId="1316"/>
    <cellStyle name="_pgvcl-costal_JND-5_MIS_Book-DMTHL" xfId="1317"/>
    <cellStyle name="_pgvcl-costal_JND-5_MIS_Comparison" xfId="1318"/>
    <cellStyle name="_pgvcl-costal_JND-5_MIS_Details of Selected Urban Feeder" xfId="1319"/>
    <cellStyle name="_pgvcl-costal_JND-5_MIS_DHTHL JAN-09" xfId="1320"/>
    <cellStyle name="_pgvcl-costal_JND-5_MIS_dnthl Feb-09" xfId="1321"/>
    <cellStyle name="_pgvcl-costal_JND-5_MIS_JGY BM Cross FDR" xfId="1322"/>
    <cellStyle name="_pgvcl-costal_JND-5_MIS_JGYssss" xfId="1323"/>
    <cellStyle name="_pgvcl-costal_JND-5_MIS_JND - 7 T3" xfId="1324"/>
    <cellStyle name="_pgvcl-costal_JND-5_MIS_JND T-3 MIS" xfId="1325"/>
    <cellStyle name="_pgvcl-costal_JND-5_MIS_JND-5 T3" xfId="1326"/>
    <cellStyle name="_pgvcl-costal_JND-5_MIS_PBR" xfId="1327"/>
    <cellStyle name="_pgvcl-costal_JND-5_MIS_PBR CO_DAILY REPORT GIS - 20-01-09" xfId="1328"/>
    <cellStyle name="_pgvcl-costal_JND-5_MIS_T&amp;D August-08" xfId="1329"/>
    <cellStyle name="_pgvcl-costal_JND-5_MIS_T&amp;D Dec-08" xfId="1330"/>
    <cellStyle name="_pgvcl-costal_JND-5_MIS_T&amp;D July-08" xfId="1331"/>
    <cellStyle name="_pgvcl-costal_JND-5_MIS_URBAN WEEKLY PBR CO" xfId="1332"/>
    <cellStyle name="_pgvcl-costal_JND-5_MIS_Weekly Urban PBR CO - 06-03-09 to 12-03-09" xfId="1333"/>
    <cellStyle name="_pgvcl-costal_JND-5_MIS_Weekly Urban PBR CO - 20-02-09 to 26-02-09" xfId="1334"/>
    <cellStyle name="_pgvcl-costal_JND-5_MIS_Weekly Urban PBR CO - 30-01-09 to 05-02-09" xfId="1335"/>
    <cellStyle name="_pgvcl-costal_JND-5_MIS_Weekly Urban PBR CO - 9-1-09 to 15.01.09" xfId="1336"/>
    <cellStyle name="_pgvcl-costal_JND-5_NEW MIS From JND Circle" xfId="1337"/>
    <cellStyle name="_pgvcl-costal_JND-5_NEW MIS From JND Circle_Book-DMTHL" xfId="1338"/>
    <cellStyle name="_pgvcl-costal_JND-5_NEW MIS From JND Circle_Comparison" xfId="1339"/>
    <cellStyle name="_pgvcl-costal_JND-5_NEW MIS From JND Circle_Details of Selected Urban Feeder" xfId="1340"/>
    <cellStyle name="_pgvcl-costal_JND-5_NEW MIS From JND Circle_DHTHL JAN-09" xfId="1341"/>
    <cellStyle name="_pgvcl-costal_JND-5_NEW MIS From JND Circle_dnthl Feb-09" xfId="1342"/>
    <cellStyle name="_pgvcl-costal_JND-5_NEW MIS From JND Circle_JGY BM Cross FDR" xfId="1343"/>
    <cellStyle name="_pgvcl-costal_JND-5_NEW MIS From JND Circle_JGYssss" xfId="1344"/>
    <cellStyle name="_pgvcl-costal_JND-5_NEW MIS From JND Circle_JND - 5" xfId="1345"/>
    <cellStyle name="_pgvcl-costal_JND-5_NEW MIS From JND Circle_JND - 5_Book-DMTHL" xfId="1346"/>
    <cellStyle name="_pgvcl-costal_JND-5_NEW MIS From JND Circle_JND - 5_Comparison" xfId="1347"/>
    <cellStyle name="_pgvcl-costal_JND-5_NEW MIS From JND Circle_JND - 5_Details of Selected Urban Feeder" xfId="1348"/>
    <cellStyle name="_pgvcl-costal_JND-5_NEW MIS From JND Circle_JND - 5_DHTHL JAN-09" xfId="1349"/>
    <cellStyle name="_pgvcl-costal_JND-5_NEW MIS From JND Circle_JND - 5_dnthl Feb-09" xfId="1350"/>
    <cellStyle name="_pgvcl-costal_JND-5_NEW MIS From JND Circle_JND - 5_JGY BM Cross FDR" xfId="1351"/>
    <cellStyle name="_pgvcl-costal_JND-5_NEW MIS From JND Circle_JND - 5_JGYssss" xfId="1352"/>
    <cellStyle name="_pgvcl-costal_JND-5_NEW MIS From JND Circle_JND - 5_PBR" xfId="1353"/>
    <cellStyle name="_pgvcl-costal_JND-5_NEW MIS From JND Circle_JND - 5_PBR CO_DAILY REPORT GIS - 20-01-09" xfId="1354"/>
    <cellStyle name="_pgvcl-costal_JND-5_NEW MIS From JND Circle_JND - 5_T&amp;D August-08" xfId="1355"/>
    <cellStyle name="_pgvcl-costal_JND-5_NEW MIS From JND Circle_JND - 5_T&amp;D Dec-08" xfId="1356"/>
    <cellStyle name="_pgvcl-costal_JND-5_NEW MIS From JND Circle_JND - 5_T&amp;D July-08" xfId="1357"/>
    <cellStyle name="_pgvcl-costal_JND-5_NEW MIS From JND Circle_JND - 5_URBAN WEEKLY PBR CO" xfId="1358"/>
    <cellStyle name="_pgvcl-costal_JND-5_NEW MIS From JND Circle_JND - 5_Weekly Urban PBR CO - 06-03-09 to 12-03-09" xfId="1359"/>
    <cellStyle name="_pgvcl-costal_JND-5_NEW MIS From JND Circle_JND - 5_Weekly Urban PBR CO - 20-02-09 to 26-02-09" xfId="1360"/>
    <cellStyle name="_pgvcl-costal_JND-5_NEW MIS From JND Circle_JND - 5_Weekly Urban PBR CO - 30-01-09 to 05-02-09" xfId="1361"/>
    <cellStyle name="_pgvcl-costal_JND-5_NEW MIS From JND Circle_JND - 5_Weekly Urban PBR CO - 9-1-09 to 15.01.09" xfId="1362"/>
    <cellStyle name="_pgvcl-costal_JND-5_NEW MIS From JND Circle_NEW MIS Jan - 08" xfId="1363"/>
    <cellStyle name="_pgvcl-costal_JND-5_NEW MIS From JND Circle_NEW MIS Jan - 08_Book-DMTHL" xfId="1364"/>
    <cellStyle name="_pgvcl-costal_JND-5_NEW MIS From JND Circle_NEW MIS Jan - 08_Comparison" xfId="1365"/>
    <cellStyle name="_pgvcl-costal_JND-5_NEW MIS From JND Circle_NEW MIS Jan - 08_Details of Selected Urban Feeder" xfId="1366"/>
    <cellStyle name="_pgvcl-costal_JND-5_NEW MIS From JND Circle_NEW MIS Jan - 08_DHTHL JAN-09" xfId="1367"/>
    <cellStyle name="_pgvcl-costal_JND-5_NEW MIS From JND Circle_NEW MIS Jan - 08_dnthl Feb-09" xfId="1368"/>
    <cellStyle name="_pgvcl-costal_JND-5_NEW MIS From JND Circle_NEW MIS Jan - 08_JGY BM Cross FDR" xfId="1369"/>
    <cellStyle name="_pgvcl-costal_JND-5_NEW MIS From JND Circle_NEW MIS Jan - 08_JGYssss" xfId="1370"/>
    <cellStyle name="_pgvcl-costal_JND-5_NEW MIS From JND Circle_NEW MIS Jan - 08_PBR" xfId="1371"/>
    <cellStyle name="_pgvcl-costal_JND-5_NEW MIS From JND Circle_NEW MIS Jan - 08_PBR CO_DAILY REPORT GIS - 20-01-09" xfId="1372"/>
    <cellStyle name="_pgvcl-costal_JND-5_NEW MIS From JND Circle_NEW MIS Jan - 08_T&amp;D August-08" xfId="1373"/>
    <cellStyle name="_pgvcl-costal_JND-5_NEW MIS From JND Circle_NEW MIS Jan - 08_T&amp;D Dec-08" xfId="1374"/>
    <cellStyle name="_pgvcl-costal_JND-5_NEW MIS From JND Circle_NEW MIS Jan - 08_T&amp;D July-08" xfId="1375"/>
    <cellStyle name="_pgvcl-costal_JND-5_NEW MIS From JND Circle_NEW MIS Jan - 08_URBAN WEEKLY PBR CO" xfId="1376"/>
    <cellStyle name="_pgvcl-costal_JND-5_NEW MIS From JND Circle_NEW MIS Jan - 08_Weekly Urban PBR CO - 06-03-09 to 12-03-09" xfId="1377"/>
    <cellStyle name="_pgvcl-costal_JND-5_NEW MIS From JND Circle_NEW MIS Jan - 08_Weekly Urban PBR CO - 20-02-09 to 26-02-09" xfId="1378"/>
    <cellStyle name="_pgvcl-costal_JND-5_NEW MIS From JND Circle_NEW MIS Jan - 08_Weekly Urban PBR CO - 30-01-09 to 05-02-09" xfId="1379"/>
    <cellStyle name="_pgvcl-costal_JND-5_NEW MIS From JND Circle_NEW MIS Jan - 08_Weekly Urban PBR CO - 9-1-09 to 15.01.09" xfId="1380"/>
    <cellStyle name="_pgvcl-costal_JND-5_NEW MIS From JND Circle_PBR" xfId="1381"/>
    <cellStyle name="_pgvcl-costal_JND-5_NEW MIS From JND Circle_PBR CO_DAILY REPORT GIS - 20-01-09" xfId="1382"/>
    <cellStyle name="_pgvcl-costal_JND-5_NEW MIS From JND Circle_T&amp;D August-08" xfId="1383"/>
    <cellStyle name="_pgvcl-costal_JND-5_NEW MIS From JND Circle_T&amp;D Dec-08" xfId="1384"/>
    <cellStyle name="_pgvcl-costal_JND-5_NEW MIS From JND Circle_T&amp;D July-08" xfId="1385"/>
    <cellStyle name="_pgvcl-costal_JND-5_NEW MIS From JND Circle_URBAN WEEKLY PBR CO" xfId="1386"/>
    <cellStyle name="_pgvcl-costal_JND-5_NEW MIS From JND Circle_Weekly Urban PBR CO - 06-03-09 to 12-03-09" xfId="1387"/>
    <cellStyle name="_pgvcl-costal_JND-5_NEW MIS From JND Circle_Weekly Urban PBR CO - 20-02-09 to 26-02-09" xfId="1388"/>
    <cellStyle name="_pgvcl-costal_JND-5_NEW MIS From JND Circle_Weekly Urban PBR CO - 30-01-09 to 05-02-09" xfId="1389"/>
    <cellStyle name="_pgvcl-costal_JND-5_NEW MIS From JND Circle_Weekly Urban PBR CO - 9-1-09 to 15.01.09" xfId="1390"/>
    <cellStyle name="_pgvcl-costal_JND-5_NEW MIS Jan - 08" xfId="1391"/>
    <cellStyle name="_pgvcl-costal_JND-5_NEW MIS Jan - 08_Book-DMTHL" xfId="1392"/>
    <cellStyle name="_pgvcl-costal_JND-5_NEW MIS Jan - 08_Comparison" xfId="1393"/>
    <cellStyle name="_pgvcl-costal_JND-5_NEW MIS Jan - 08_Details of Selected Urban Feeder" xfId="1394"/>
    <cellStyle name="_pgvcl-costal_JND-5_NEW MIS Jan - 08_DHTHL JAN-09" xfId="1395"/>
    <cellStyle name="_pgvcl-costal_JND-5_NEW MIS Jan - 08_dnthl Feb-09" xfId="1396"/>
    <cellStyle name="_pgvcl-costal_JND-5_NEW MIS Jan - 08_JGY BM Cross FDR" xfId="1397"/>
    <cellStyle name="_pgvcl-costal_JND-5_NEW MIS Jan - 08_JGYssss" xfId="1398"/>
    <cellStyle name="_pgvcl-costal_JND-5_NEW MIS Jan - 08_PBR" xfId="1399"/>
    <cellStyle name="_pgvcl-costal_JND-5_NEW MIS Jan - 08_PBR CO_DAILY REPORT GIS - 20-01-09" xfId="1400"/>
    <cellStyle name="_pgvcl-costal_JND-5_NEW MIS Jan - 08_T&amp;D August-08" xfId="1401"/>
    <cellStyle name="_pgvcl-costal_JND-5_NEW MIS Jan - 08_T&amp;D Dec-08" xfId="1402"/>
    <cellStyle name="_pgvcl-costal_JND-5_NEW MIS Jan - 08_T&amp;D July-08" xfId="1403"/>
    <cellStyle name="_pgvcl-costal_JND-5_NEW MIS Jan - 08_URBAN WEEKLY PBR CO" xfId="1404"/>
    <cellStyle name="_pgvcl-costal_JND-5_NEW MIS Jan - 08_Weekly Urban PBR CO - 06-03-09 to 12-03-09" xfId="1405"/>
    <cellStyle name="_pgvcl-costal_JND-5_NEW MIS Jan - 08_Weekly Urban PBR CO - 20-02-09 to 26-02-09" xfId="1406"/>
    <cellStyle name="_pgvcl-costal_JND-5_NEW MIS Jan - 08_Weekly Urban PBR CO - 30-01-09 to 05-02-09" xfId="1407"/>
    <cellStyle name="_pgvcl-costal_JND-5_NEW MIS Jan - 08_Weekly Urban PBR CO - 9-1-09 to 15.01.09" xfId="1408"/>
    <cellStyle name="_pgvcl-costal_JND-5_NEWMISFromJNDCircle-DEC07" xfId="1409"/>
    <cellStyle name="_pgvcl-costal_JND-5_PBR" xfId="1410"/>
    <cellStyle name="_pgvcl-costal_JND-5_PBR CO_DAILY REPORT GIS - 20-01-09" xfId="1411"/>
    <cellStyle name="_pgvcl-costal_JND-5_PBR-7" xfId="1412"/>
    <cellStyle name="_pgvcl-costal_JND-5_sept JMN-7" xfId="1413"/>
    <cellStyle name="_pgvcl-costal_JND-5_T&amp;D August-08" xfId="1414"/>
    <cellStyle name="_pgvcl-costal_JND-5_T&amp;D Dec-08" xfId="1415"/>
    <cellStyle name="_pgvcl-costal_JND-5_T&amp;D July-08" xfId="1416"/>
    <cellStyle name="_pgvcl-costal_JND-5_URBAN WEEKLY PBR CO" xfId="1417"/>
    <cellStyle name="_pgvcl-costal_JND-5_Weekly Urban PBR CO - 06-03-09 to 12-03-09" xfId="1418"/>
    <cellStyle name="_pgvcl-costal_JND-5_Weekly Urban PBR CO - 20-02-09 to 26-02-09" xfId="1419"/>
    <cellStyle name="_pgvcl-costal_JND-5_Weekly Urban PBR CO - 30-01-09 to 05-02-09" xfId="1420"/>
    <cellStyle name="_pgvcl-costal_JND-5_Weekly Urban PBR CO - 9-1-09 to 15.01.09" xfId="1421"/>
    <cellStyle name="_pgvcl-costal_JND-50" xfId="1422"/>
    <cellStyle name="_pgvcl-costal_JND-51" xfId="1423"/>
    <cellStyle name="_pgvcl-costal_JND-51_Book-DMTHL" xfId="1424"/>
    <cellStyle name="_pgvcl-costal_JND-51_Comparison" xfId="1425"/>
    <cellStyle name="_pgvcl-costal_JND-51_Details of Selected Urban Feeder" xfId="1426"/>
    <cellStyle name="_pgvcl-costal_JND-51_DHTHL JAN-09" xfId="1427"/>
    <cellStyle name="_pgvcl-costal_JND-51_dnthl Feb-09" xfId="1428"/>
    <cellStyle name="_pgvcl-costal_JND-51_JGY BM Cross FDR" xfId="1429"/>
    <cellStyle name="_pgvcl-costal_JND-51_JGYssss" xfId="1430"/>
    <cellStyle name="_pgvcl-costal_JND-51_NEWMISFromJNDCircle-DEC07" xfId="1431"/>
    <cellStyle name="_pgvcl-costal_JND-51_PBR" xfId="1432"/>
    <cellStyle name="_pgvcl-costal_JND-51_PBR CO_DAILY REPORT GIS - 20-01-09" xfId="1433"/>
    <cellStyle name="_pgvcl-costal_JND-51_T&amp;D August-08" xfId="1434"/>
    <cellStyle name="_pgvcl-costal_JND-51_T&amp;D Dec-08" xfId="1435"/>
    <cellStyle name="_pgvcl-costal_JND-51_T&amp;D July-08" xfId="1436"/>
    <cellStyle name="_pgvcl-costal_JND-51_URBAN WEEKLY PBR CO" xfId="1437"/>
    <cellStyle name="_pgvcl-costal_JND-51_Weekly Urban PBR CO - 06-03-09 to 12-03-09" xfId="1438"/>
    <cellStyle name="_pgvcl-costal_JND-51_Weekly Urban PBR CO - 20-02-09 to 26-02-09" xfId="1439"/>
    <cellStyle name="_pgvcl-costal_JND-51_Weekly Urban PBR CO - 30-01-09 to 05-02-09" xfId="1440"/>
    <cellStyle name="_pgvcl-costal_JND-51_Weekly Urban PBR CO - 9-1-09 to 15.01.09" xfId="1441"/>
    <cellStyle name="_pgvcl-costal_JND-7" xfId="1442"/>
    <cellStyle name="_pgvcl-costal_JND-7_JGY BM Cross FDR" xfId="1443"/>
    <cellStyle name="_pgvcl-costal_JND-7_JND - 7 T3" xfId="1444"/>
    <cellStyle name="_pgvcl-costal_JND-7_JND - 7 T3_JGY BM Cross FDR" xfId="1445"/>
    <cellStyle name="_pgvcl-costal_Meeting 12.06.08" xfId="1446"/>
    <cellStyle name="_pgvcl-costal_Meeting 12.06.08_JGY BM Cross FDR" xfId="1447"/>
    <cellStyle name="_pgvcl-costal_MIS" xfId="1448"/>
    <cellStyle name="_pgvcl-costal_MIS Dec - 07" xfId="1449"/>
    <cellStyle name="_pgvcl-costal_MIS Dec - 07_03.03.09 Accd, Coastal" xfId="1450"/>
    <cellStyle name="_pgvcl-costal_MIS Dec - 07_Accd &amp; Coastal 24.08.09" xfId="1451"/>
    <cellStyle name="_pgvcl-costal_MIS Dec - 07_Accd MOSE 04.08.09" xfId="1452"/>
    <cellStyle name="_pgvcl-costal_MIS Dec - 07_Accident &amp; Coastal" xfId="1453"/>
    <cellStyle name="_pgvcl-costal_MIS Dec - 07_Bill Pending - SEs Conf. 21.08.08" xfId="1454"/>
    <cellStyle name="_pgvcl-costal_MIS Dec - 07_Bill Pending - SEs Conf. 21.08.08_JGY BM Cross FDR" xfId="1455"/>
    <cellStyle name="_pgvcl-costal_MIS Dec - 07_BOARD 30-03-09" xfId="1456"/>
    <cellStyle name="_pgvcl-costal_MIS Dec - 07_BOARD 30-03-09_JGY BM Cross FDR" xfId="1457"/>
    <cellStyle name="_pgvcl-costal_MIS Dec - 07_Book-DMTHL" xfId="1458"/>
    <cellStyle name="_pgvcl-costal_MIS Dec - 07_Circle wise Coastal" xfId="1459"/>
    <cellStyle name="_pgvcl-costal_MIS Dec - 07_Coastal TS" xfId="1460"/>
    <cellStyle name="_pgvcl-costal_MIS Dec - 07_Comparison" xfId="1461"/>
    <cellStyle name="_pgvcl-costal_MIS Dec - 07_Details of Selected Urban Feeder" xfId="1462"/>
    <cellStyle name="_pgvcl-costal_MIS Dec - 07_DHTHL JAN-09" xfId="1463"/>
    <cellStyle name="_pgvcl-costal_MIS Dec - 07_dnthl Feb-09" xfId="1464"/>
    <cellStyle name="_pgvcl-costal_MIS Dec - 07_HOD 16-04-09 Transformer" xfId="1465"/>
    <cellStyle name="_pgvcl-costal_MIS Dec - 07_HOD 16-04-09 Transformer_JGY BM Cross FDR" xfId="1466"/>
    <cellStyle name="_pgvcl-costal_MIS Dec - 07_JGY BM Cross FDR" xfId="1467"/>
    <cellStyle name="_pgvcl-costal_MIS Dec - 07_JGYssss" xfId="1468"/>
    <cellStyle name="_pgvcl-costal_MIS Dec - 07_JND - 5" xfId="1469"/>
    <cellStyle name="_pgvcl-costal_MIS Dec - 07_JND - 5_03.03.09 Accd, Coastal" xfId="1470"/>
    <cellStyle name="_pgvcl-costal_MIS Dec - 07_JND - 5_Accd &amp; Coastal 24.08.09" xfId="1471"/>
    <cellStyle name="_pgvcl-costal_MIS Dec - 07_JND - 5_Accd MOSE 04.08.09" xfId="1472"/>
    <cellStyle name="_pgvcl-costal_MIS Dec - 07_JND - 5_Accident &amp; Coastal" xfId="1473"/>
    <cellStyle name="_pgvcl-costal_MIS Dec - 07_JND - 5_Bill Pending - SEs Conf. 21.08.08" xfId="1474"/>
    <cellStyle name="_pgvcl-costal_MIS Dec - 07_JND - 5_Bill Pending - SEs Conf. 21.08.08_JGY BM Cross FDR" xfId="1475"/>
    <cellStyle name="_pgvcl-costal_MIS Dec - 07_JND - 5_BOARD 30-03-09" xfId="1476"/>
    <cellStyle name="_pgvcl-costal_MIS Dec - 07_JND - 5_BOARD 30-03-09_JGY BM Cross FDR" xfId="1477"/>
    <cellStyle name="_pgvcl-costal_MIS Dec - 07_JND - 5_Book-DMTHL" xfId="1478"/>
    <cellStyle name="_pgvcl-costal_MIS Dec - 07_JND - 5_Circle wise Coastal" xfId="1479"/>
    <cellStyle name="_pgvcl-costal_MIS Dec - 07_JND - 5_Coastal TS" xfId="1480"/>
    <cellStyle name="_pgvcl-costal_MIS Dec - 07_JND - 5_Comparison" xfId="1481"/>
    <cellStyle name="_pgvcl-costal_MIS Dec - 07_JND - 5_Details of Selected Urban Feeder" xfId="1482"/>
    <cellStyle name="_pgvcl-costal_MIS Dec - 07_JND - 5_DHTHL JAN-09" xfId="1483"/>
    <cellStyle name="_pgvcl-costal_MIS Dec - 07_JND - 5_dnthl Feb-09" xfId="1484"/>
    <cellStyle name="_pgvcl-costal_MIS Dec - 07_JND - 5_HOD 16-04-09 Transformer" xfId="1485"/>
    <cellStyle name="_pgvcl-costal_MIS Dec - 07_JND - 5_HOD 16-04-09 Transformer_JGY BM Cross FDR" xfId="1486"/>
    <cellStyle name="_pgvcl-costal_MIS Dec - 07_JND - 5_JGY BM Cross FDR" xfId="1487"/>
    <cellStyle name="_pgvcl-costal_MIS Dec - 07_JND - 5_JGYssss" xfId="1488"/>
    <cellStyle name="_pgvcl-costal_MIS Dec - 07_JND - 5_Other Points 01.07.09" xfId="1489"/>
    <cellStyle name="_pgvcl-costal_MIS Dec - 07_JND - 5_Other Points 16 04 09" xfId="1490"/>
    <cellStyle name="_pgvcl-costal_MIS Dec - 07_JND - 5_PBR" xfId="1491"/>
    <cellStyle name="_pgvcl-costal_MIS Dec - 07_JND - 5_PBR CO_DAILY REPORT GIS - 20-01-09" xfId="1492"/>
    <cellStyle name="_pgvcl-costal_MIS Dec - 07_JND - 5_point 10 Accd Main file SEs Conf 11.02.08" xfId="1493"/>
    <cellStyle name="_pgvcl-costal_MIS Dec - 07_JND - 5_Point 14.a Transformers Failure" xfId="1494"/>
    <cellStyle name="_pgvcl-costal_MIS Dec - 07_JND - 5_Point 14.a Transformers Failure_JGY BM Cross FDR" xfId="1495"/>
    <cellStyle name="_pgvcl-costal_MIS Dec - 07_JND - 5_point 20. Accident" xfId="1496"/>
    <cellStyle name="_pgvcl-costal_MIS Dec - 07_JND - 5_point 20. Accident_JGY BM Cross FDR" xfId="1497"/>
    <cellStyle name="_pgvcl-costal_MIS Dec - 07_JND - 5_SE 14-05-09" xfId="1498"/>
    <cellStyle name="_pgvcl-costal_MIS Dec - 07_JND - 5_SE 14-05-09_JGY BM Cross FDR" xfId="1499"/>
    <cellStyle name="_pgvcl-costal_MIS Dec - 07_JND - 5_SEs Conf 16 06 09 Tech - 2 details" xfId="1500"/>
    <cellStyle name="_pgvcl-costal_MIS Dec - 07_JND - 5_SEs Conf. 14.12.2008" xfId="1501"/>
    <cellStyle name="_pgvcl-costal_MIS Dec - 07_JND - 5_SEs Conf. 14.12.2008_JGY BM Cross FDR" xfId="1502"/>
    <cellStyle name="_pgvcl-costal_MIS Dec - 07_JND - 5_T&amp;D August-08" xfId="1503"/>
    <cellStyle name="_pgvcl-costal_MIS Dec - 07_JND - 5_T&amp;D Dec-08" xfId="1504"/>
    <cellStyle name="_pgvcl-costal_MIS Dec - 07_JND - 5_T&amp;D July-08" xfId="1505"/>
    <cellStyle name="_pgvcl-costal_MIS Dec - 07_JND - 5_t-2Other Points 14.05.09" xfId="1506"/>
    <cellStyle name="_pgvcl-costal_MIS Dec - 07_JND - 5_TECH-2 SOFT COPY" xfId="1507"/>
    <cellStyle name="_pgvcl-costal_MIS Dec - 07_JND - 5_URBAN WEEKLY PBR CO" xfId="1508"/>
    <cellStyle name="_pgvcl-costal_MIS Dec - 07_JND - 5_Weekly Urban PBR CO - 06-03-09 to 12-03-09" xfId="1509"/>
    <cellStyle name="_pgvcl-costal_MIS Dec - 07_JND - 5_Weekly Urban PBR CO - 20-02-09 to 26-02-09" xfId="1510"/>
    <cellStyle name="_pgvcl-costal_MIS Dec - 07_JND - 5_Weekly Urban PBR CO - 30-01-09 to 05-02-09" xfId="1511"/>
    <cellStyle name="_pgvcl-costal_MIS Dec - 07_JND - 5_Weekly Urban PBR CO - 9-1-09 to 15.01.09" xfId="1512"/>
    <cellStyle name="_pgvcl-costal_MIS Dec - 07_JND - 7 T3" xfId="1513"/>
    <cellStyle name="_pgvcl-costal_MIS Dec - 07_JND T-3 MIS" xfId="1514"/>
    <cellStyle name="_pgvcl-costal_MIS Dec - 07_JND-5 T3" xfId="1515"/>
    <cellStyle name="_pgvcl-costal_MIS Dec - 07_NEW MIS Jan - 08" xfId="1516"/>
    <cellStyle name="_pgvcl-costal_MIS Dec - 07_NEW MIS Jan - 08_Book-DMTHL" xfId="1517"/>
    <cellStyle name="_pgvcl-costal_MIS Dec - 07_NEW MIS Jan - 08_Comparison" xfId="1518"/>
    <cellStyle name="_pgvcl-costal_MIS Dec - 07_NEW MIS Jan - 08_Details of Selected Urban Feeder" xfId="1519"/>
    <cellStyle name="_pgvcl-costal_MIS Dec - 07_NEW MIS Jan - 08_DHTHL JAN-09" xfId="1520"/>
    <cellStyle name="_pgvcl-costal_MIS Dec - 07_NEW MIS Jan - 08_dnthl Feb-09" xfId="1521"/>
    <cellStyle name="_pgvcl-costal_MIS Dec - 07_NEW MIS Jan - 08_JGY BM Cross FDR" xfId="1522"/>
    <cellStyle name="_pgvcl-costal_MIS Dec - 07_NEW MIS Jan - 08_JGYssss" xfId="1523"/>
    <cellStyle name="_pgvcl-costal_MIS Dec - 07_NEW MIS Jan - 08_PBR" xfId="1524"/>
    <cellStyle name="_pgvcl-costal_MIS Dec - 07_NEW MIS Jan - 08_PBR CO_DAILY REPORT GIS - 20-01-09" xfId="1525"/>
    <cellStyle name="_pgvcl-costal_MIS Dec - 07_NEW MIS Jan - 08_T&amp;D August-08" xfId="1526"/>
    <cellStyle name="_pgvcl-costal_MIS Dec - 07_NEW MIS Jan - 08_T&amp;D Dec-08" xfId="1527"/>
    <cellStyle name="_pgvcl-costal_MIS Dec - 07_NEW MIS Jan - 08_T&amp;D July-08" xfId="1528"/>
    <cellStyle name="_pgvcl-costal_MIS Dec - 07_NEW MIS Jan - 08_URBAN WEEKLY PBR CO" xfId="1529"/>
    <cellStyle name="_pgvcl-costal_MIS Dec - 07_NEW MIS Jan - 08_Weekly Urban PBR CO - 06-03-09 to 12-03-09" xfId="1530"/>
    <cellStyle name="_pgvcl-costal_MIS Dec - 07_NEW MIS Jan - 08_Weekly Urban PBR CO - 20-02-09 to 26-02-09" xfId="1531"/>
    <cellStyle name="_pgvcl-costal_MIS Dec - 07_NEW MIS Jan - 08_Weekly Urban PBR CO - 30-01-09 to 05-02-09" xfId="1532"/>
    <cellStyle name="_pgvcl-costal_MIS Dec - 07_NEW MIS Jan - 08_Weekly Urban PBR CO - 9-1-09 to 15.01.09" xfId="1533"/>
    <cellStyle name="_pgvcl-costal_MIS Dec - 07_Other Points 01.07.09" xfId="1534"/>
    <cellStyle name="_pgvcl-costal_MIS Dec - 07_Other Points 16 04 09" xfId="1535"/>
    <cellStyle name="_pgvcl-costal_MIS Dec - 07_PBR" xfId="1536"/>
    <cellStyle name="_pgvcl-costal_MIS Dec - 07_PBR CO_DAILY REPORT GIS - 20-01-09" xfId="1537"/>
    <cellStyle name="_pgvcl-costal_MIS Dec - 07_point 10 Accd Main file SEs Conf 11.02.08" xfId="1538"/>
    <cellStyle name="_pgvcl-costal_MIS Dec - 07_Point 14.a Transformers Failure" xfId="1539"/>
    <cellStyle name="_pgvcl-costal_MIS Dec - 07_Point 14.a Transformers Failure_JGY BM Cross FDR" xfId="1540"/>
    <cellStyle name="_pgvcl-costal_MIS Dec - 07_point 20. Accident" xfId="1541"/>
    <cellStyle name="_pgvcl-costal_MIS Dec - 07_point 20. Accident_JGY BM Cross FDR" xfId="1542"/>
    <cellStyle name="_pgvcl-costal_MIS Dec - 07_SE 14-05-09" xfId="1543"/>
    <cellStyle name="_pgvcl-costal_MIS Dec - 07_SE 14-05-09_JGY BM Cross FDR" xfId="1544"/>
    <cellStyle name="_pgvcl-costal_MIS Dec - 07_SEs Conf 16 06 09 Tech - 2 details" xfId="1545"/>
    <cellStyle name="_pgvcl-costal_MIS Dec - 07_SEs Conf. 14.12.2008" xfId="1546"/>
    <cellStyle name="_pgvcl-costal_MIS Dec - 07_SEs Conf. 14.12.2008_JGY BM Cross FDR" xfId="1547"/>
    <cellStyle name="_pgvcl-costal_MIS Dec - 07_T&amp;D August-08" xfId="1548"/>
    <cellStyle name="_pgvcl-costal_MIS Dec - 07_T&amp;D Dec-08" xfId="1549"/>
    <cellStyle name="_pgvcl-costal_MIS Dec - 07_T&amp;D July-08" xfId="1550"/>
    <cellStyle name="_pgvcl-costal_MIS Dec - 07_t-2Other Points 14.05.09" xfId="1551"/>
    <cellStyle name="_pgvcl-costal_MIS Dec - 07_TECH-2 SOFT COPY" xfId="1552"/>
    <cellStyle name="_pgvcl-costal_MIS Dec - 07_URBAN WEEKLY PBR CO" xfId="1553"/>
    <cellStyle name="_pgvcl-costal_MIS Dec - 07_Weekly Urban PBR CO - 06-03-09 to 12-03-09" xfId="1554"/>
    <cellStyle name="_pgvcl-costal_MIS Dec - 07_Weekly Urban PBR CO - 20-02-09 to 26-02-09" xfId="1555"/>
    <cellStyle name="_pgvcl-costal_MIS Dec - 07_Weekly Urban PBR CO - 30-01-09 to 05-02-09" xfId="1556"/>
    <cellStyle name="_pgvcl-costal_MIS Dec - 07_Weekly Urban PBR CO - 9-1-09 to 15.01.09" xfId="1557"/>
    <cellStyle name="_pgvcl-costal_MIS Jan - 08" xfId="1558"/>
    <cellStyle name="_pgvcl-costal_MIS Jan - 08_Book-DMTHL" xfId="1559"/>
    <cellStyle name="_pgvcl-costal_MIS Jan - 08_Comparison" xfId="1560"/>
    <cellStyle name="_pgvcl-costal_MIS Jan - 08_Details of Selected Urban Feeder" xfId="1561"/>
    <cellStyle name="_pgvcl-costal_MIS Jan - 08_DHTHL JAN-09" xfId="1562"/>
    <cellStyle name="_pgvcl-costal_MIS Jan - 08_dnthl Feb-09" xfId="1563"/>
    <cellStyle name="_pgvcl-costal_MIS Jan - 08_JGY BM Cross FDR" xfId="1564"/>
    <cellStyle name="_pgvcl-costal_MIS Jan - 08_JGYssss" xfId="1565"/>
    <cellStyle name="_pgvcl-costal_MIS Jan - 08_JND - 5" xfId="1566"/>
    <cellStyle name="_pgvcl-costal_MIS Jan - 08_JND - 5_Book-DMTHL" xfId="1567"/>
    <cellStyle name="_pgvcl-costal_MIS Jan - 08_JND - 5_Comparison" xfId="1568"/>
    <cellStyle name="_pgvcl-costal_MIS Jan - 08_JND - 5_Details of Selected Urban Feeder" xfId="1569"/>
    <cellStyle name="_pgvcl-costal_MIS Jan - 08_JND - 5_DHTHL JAN-09" xfId="1570"/>
    <cellStyle name="_pgvcl-costal_MIS Jan - 08_JND - 5_dnthl Feb-09" xfId="1571"/>
    <cellStyle name="_pgvcl-costal_MIS Jan - 08_JND - 5_JGY BM Cross FDR" xfId="1572"/>
    <cellStyle name="_pgvcl-costal_MIS Jan - 08_JND - 5_JGYssss" xfId="1573"/>
    <cellStyle name="_pgvcl-costal_MIS Jan - 08_JND - 5_PBR" xfId="1574"/>
    <cellStyle name="_pgvcl-costal_MIS Jan - 08_JND - 5_PBR CO_DAILY REPORT GIS - 20-01-09" xfId="1575"/>
    <cellStyle name="_pgvcl-costal_MIS Jan - 08_JND - 5_T&amp;D August-08" xfId="1576"/>
    <cellStyle name="_pgvcl-costal_MIS Jan - 08_JND - 5_T&amp;D Dec-08" xfId="1577"/>
    <cellStyle name="_pgvcl-costal_MIS Jan - 08_JND - 5_T&amp;D July-08" xfId="1578"/>
    <cellStyle name="_pgvcl-costal_MIS Jan - 08_JND - 5_URBAN WEEKLY PBR CO" xfId="1579"/>
    <cellStyle name="_pgvcl-costal_MIS Jan - 08_JND - 5_Weekly Urban PBR CO - 06-03-09 to 12-03-09" xfId="1580"/>
    <cellStyle name="_pgvcl-costal_MIS Jan - 08_JND - 5_Weekly Urban PBR CO - 20-02-09 to 26-02-09" xfId="1581"/>
    <cellStyle name="_pgvcl-costal_MIS Jan - 08_JND - 5_Weekly Urban PBR CO - 30-01-09 to 05-02-09" xfId="1582"/>
    <cellStyle name="_pgvcl-costal_MIS Jan - 08_JND - 5_Weekly Urban PBR CO - 9-1-09 to 15.01.09" xfId="1583"/>
    <cellStyle name="_pgvcl-costal_MIS Jan - 08_NEW MIS Jan - 08" xfId="1584"/>
    <cellStyle name="_pgvcl-costal_MIS Jan - 08_NEW MIS Jan - 08_Book-DMTHL" xfId="1585"/>
    <cellStyle name="_pgvcl-costal_MIS Jan - 08_NEW MIS Jan - 08_Comparison" xfId="1586"/>
    <cellStyle name="_pgvcl-costal_MIS Jan - 08_NEW MIS Jan - 08_Details of Selected Urban Feeder" xfId="1587"/>
    <cellStyle name="_pgvcl-costal_MIS Jan - 08_NEW MIS Jan - 08_DHTHL JAN-09" xfId="1588"/>
    <cellStyle name="_pgvcl-costal_MIS Jan - 08_NEW MIS Jan - 08_dnthl Feb-09" xfId="1589"/>
    <cellStyle name="_pgvcl-costal_MIS Jan - 08_NEW MIS Jan - 08_JGY BM Cross FDR" xfId="1590"/>
    <cellStyle name="_pgvcl-costal_MIS Jan - 08_NEW MIS Jan - 08_JGYssss" xfId="1591"/>
    <cellStyle name="_pgvcl-costal_MIS Jan - 08_NEW MIS Jan - 08_PBR" xfId="1592"/>
    <cellStyle name="_pgvcl-costal_MIS Jan - 08_NEW MIS Jan - 08_PBR CO_DAILY REPORT GIS - 20-01-09" xfId="1593"/>
    <cellStyle name="_pgvcl-costal_MIS Jan - 08_NEW MIS Jan - 08_T&amp;D August-08" xfId="1594"/>
    <cellStyle name="_pgvcl-costal_MIS Jan - 08_NEW MIS Jan - 08_T&amp;D Dec-08" xfId="1595"/>
    <cellStyle name="_pgvcl-costal_MIS Jan - 08_NEW MIS Jan - 08_T&amp;D July-08" xfId="1596"/>
    <cellStyle name="_pgvcl-costal_MIS Jan - 08_NEW MIS Jan - 08_URBAN WEEKLY PBR CO" xfId="1597"/>
    <cellStyle name="_pgvcl-costal_MIS Jan - 08_NEW MIS Jan - 08_Weekly Urban PBR CO - 06-03-09 to 12-03-09" xfId="1598"/>
    <cellStyle name="_pgvcl-costal_MIS Jan - 08_NEW MIS Jan - 08_Weekly Urban PBR CO - 20-02-09 to 26-02-09" xfId="1599"/>
    <cellStyle name="_pgvcl-costal_MIS Jan - 08_NEW MIS Jan - 08_Weekly Urban PBR CO - 30-01-09 to 05-02-09" xfId="1600"/>
    <cellStyle name="_pgvcl-costal_MIS Jan - 08_NEW MIS Jan - 08_Weekly Urban PBR CO - 9-1-09 to 15.01.09" xfId="1601"/>
    <cellStyle name="_pgvcl-costal_MIS Jan - 08_PBR" xfId="1602"/>
    <cellStyle name="_pgvcl-costal_MIS Jan - 08_PBR CO_DAILY REPORT GIS - 20-01-09" xfId="1603"/>
    <cellStyle name="_pgvcl-costal_MIS Jan - 08_T&amp;D August-08" xfId="1604"/>
    <cellStyle name="_pgvcl-costal_MIS Jan - 08_T&amp;D Dec-08" xfId="1605"/>
    <cellStyle name="_pgvcl-costal_MIS Jan - 08_T&amp;D July-08" xfId="1606"/>
    <cellStyle name="_pgvcl-costal_MIS Jan - 08_URBAN WEEKLY PBR CO" xfId="1607"/>
    <cellStyle name="_pgvcl-costal_MIS Jan - 08_Weekly Urban PBR CO - 06-03-09 to 12-03-09" xfId="1608"/>
    <cellStyle name="_pgvcl-costal_MIS Jan - 08_Weekly Urban PBR CO - 20-02-09 to 26-02-09" xfId="1609"/>
    <cellStyle name="_pgvcl-costal_MIS Jan - 08_Weekly Urban PBR CO - 30-01-09 to 05-02-09" xfId="1610"/>
    <cellStyle name="_pgvcl-costal_MIS Jan - 08_Weekly Urban PBR CO - 9-1-09 to 15.01.09" xfId="1611"/>
    <cellStyle name="_pgvcl-costal_MIS Nov - 07" xfId="1612"/>
    <cellStyle name="_pgvcl-costal_MIS Summary Jan-08" xfId="1613"/>
    <cellStyle name="_pgvcl-costal_MIS Summary Jan-08_Book-DMTHL" xfId="1614"/>
    <cellStyle name="_pgvcl-costal_MIS Summary Jan-08_Comparison" xfId="1615"/>
    <cellStyle name="_pgvcl-costal_MIS Summary Jan-08_Details of Selected Urban Feeder" xfId="1616"/>
    <cellStyle name="_pgvcl-costal_MIS Summary Jan-08_DHTHL JAN-09" xfId="1617"/>
    <cellStyle name="_pgvcl-costal_MIS Summary Jan-08_dnthl Feb-09" xfId="1618"/>
    <cellStyle name="_pgvcl-costal_MIS Summary Jan-08_JGY BM Cross FDR" xfId="1619"/>
    <cellStyle name="_pgvcl-costal_MIS Summary Jan-08_JGYssss" xfId="1620"/>
    <cellStyle name="_pgvcl-costal_MIS Summary Jan-08_PBR" xfId="1621"/>
    <cellStyle name="_pgvcl-costal_MIS Summary Jan-08_PBR CO_DAILY REPORT GIS - 20-01-09" xfId="1622"/>
    <cellStyle name="_pgvcl-costal_MIS Summary Jan-08_T&amp;D August-08" xfId="1623"/>
    <cellStyle name="_pgvcl-costal_MIS Summary Jan-08_T&amp;D Dec-08" xfId="1624"/>
    <cellStyle name="_pgvcl-costal_MIS Summary Jan-08_T&amp;D July-08" xfId="1625"/>
    <cellStyle name="_pgvcl-costal_MIS Summary Jan-08_URBAN WEEKLY PBR CO" xfId="1626"/>
    <cellStyle name="_pgvcl-costal_MIS Summary Jan-08_Weekly Urban PBR CO - 06-03-09 to 12-03-09" xfId="1627"/>
    <cellStyle name="_pgvcl-costal_MIS Summary Jan-08_Weekly Urban PBR CO - 20-02-09 to 26-02-09" xfId="1628"/>
    <cellStyle name="_pgvcl-costal_MIS Summary Jan-08_Weekly Urban PBR CO - 30-01-09 to 05-02-09" xfId="1629"/>
    <cellStyle name="_pgvcl-costal_MIS Summary Jan-08_Weekly Urban PBR CO - 9-1-09 to 15.01.09" xfId="1630"/>
    <cellStyle name="_pgvcl-costal_MIS_03.03.09 Accd, Coastal" xfId="1631"/>
    <cellStyle name="_pgvcl-costal_MIS_Accd &amp; Coastal 24.08.09" xfId="1632"/>
    <cellStyle name="_pgvcl-costal_MIS_Accd MOSE 04.08.09" xfId="1633"/>
    <cellStyle name="_pgvcl-costal_MIS_Accident &amp; Coastal" xfId="1634"/>
    <cellStyle name="_pgvcl-costal_MIS_Bill Pending - SEs Conf. 21.08.08" xfId="1635"/>
    <cellStyle name="_pgvcl-costal_MIS_Bill Pending - SEs Conf. 21.08.08_JGY BM Cross FDR" xfId="1636"/>
    <cellStyle name="_pgvcl-costal_MIS_BOARD 30-03-09" xfId="1637"/>
    <cellStyle name="_pgvcl-costal_MIS_BOARD 30-03-09_JGY BM Cross FDR" xfId="1638"/>
    <cellStyle name="_pgvcl-costal_MIS_Book-DMTHL" xfId="1639"/>
    <cellStyle name="_pgvcl-costal_MIS_Circle wise Coastal" xfId="1640"/>
    <cellStyle name="_pgvcl-costal_MIS_Coastal TS" xfId="1641"/>
    <cellStyle name="_pgvcl-costal_MIS_Comparison" xfId="1642"/>
    <cellStyle name="_pgvcl-costal_MIS_Details of Selected Urban Feeder" xfId="1643"/>
    <cellStyle name="_pgvcl-costal_MIS_DHTHL JAN-09" xfId="1644"/>
    <cellStyle name="_pgvcl-costal_MIS_dnthl Feb-09" xfId="1645"/>
    <cellStyle name="_pgvcl-costal_MIS_HOD 16-04-09 Transformer" xfId="1646"/>
    <cellStyle name="_pgvcl-costal_MIS_HOD 16-04-09 Transformer_JGY BM Cross FDR" xfId="1647"/>
    <cellStyle name="_pgvcl-costal_MIS_JGY BM Cross FDR" xfId="1648"/>
    <cellStyle name="_pgvcl-costal_MIS_JGYssss" xfId="1649"/>
    <cellStyle name="_pgvcl-costal_MIS_JND - 5" xfId="1650"/>
    <cellStyle name="_pgvcl-costal_MIS_JND - 5_03.03.09 Accd, Coastal" xfId="1651"/>
    <cellStyle name="_pgvcl-costal_MIS_JND - 5_Accd &amp; Coastal 24.08.09" xfId="1652"/>
    <cellStyle name="_pgvcl-costal_MIS_JND - 5_Accd MOSE 04.08.09" xfId="1653"/>
    <cellStyle name="_pgvcl-costal_MIS_JND - 5_Accident &amp; Coastal" xfId="1654"/>
    <cellStyle name="_pgvcl-costal_MIS_JND - 5_Bill Pending - SEs Conf. 21.08.08" xfId="1655"/>
    <cellStyle name="_pgvcl-costal_MIS_JND - 5_Bill Pending - SEs Conf. 21.08.08_JGY BM Cross FDR" xfId="1656"/>
    <cellStyle name="_pgvcl-costal_MIS_JND - 5_BOARD 30-03-09" xfId="1657"/>
    <cellStyle name="_pgvcl-costal_MIS_JND - 5_BOARD 30-03-09_JGY BM Cross FDR" xfId="1658"/>
    <cellStyle name="_pgvcl-costal_MIS_JND - 5_Book-DMTHL" xfId="1659"/>
    <cellStyle name="_pgvcl-costal_MIS_JND - 5_Circle wise Coastal" xfId="1660"/>
    <cellStyle name="_pgvcl-costal_MIS_JND - 5_Coastal TS" xfId="1661"/>
    <cellStyle name="_pgvcl-costal_MIS_JND - 5_Comparison" xfId="1662"/>
    <cellStyle name="_pgvcl-costal_MIS_JND - 5_Details of Selected Urban Feeder" xfId="1663"/>
    <cellStyle name="_pgvcl-costal_MIS_JND - 5_DHTHL JAN-09" xfId="1664"/>
    <cellStyle name="_pgvcl-costal_MIS_JND - 5_dnthl Feb-09" xfId="1665"/>
    <cellStyle name="_pgvcl-costal_MIS_JND - 5_HOD 16-04-09 Transformer" xfId="1666"/>
    <cellStyle name="_pgvcl-costal_MIS_JND - 5_HOD 16-04-09 Transformer_JGY BM Cross FDR" xfId="1667"/>
    <cellStyle name="_pgvcl-costal_MIS_JND - 5_JGY BM Cross FDR" xfId="1668"/>
    <cellStyle name="_pgvcl-costal_MIS_JND - 5_JGYssss" xfId="1669"/>
    <cellStyle name="_pgvcl-costal_MIS_JND - 5_Other Points 01.07.09" xfId="1670"/>
    <cellStyle name="_pgvcl-costal_MIS_JND - 5_Other Points 16 04 09" xfId="1671"/>
    <cellStyle name="_pgvcl-costal_MIS_JND - 5_PBR" xfId="1672"/>
    <cellStyle name="_pgvcl-costal_MIS_JND - 5_PBR CO_DAILY REPORT GIS - 20-01-09" xfId="1673"/>
    <cellStyle name="_pgvcl-costal_MIS_JND - 5_point 10 Accd Main file SEs Conf 11.02.08" xfId="1674"/>
    <cellStyle name="_pgvcl-costal_MIS_JND - 5_Point 14.a Transformers Failure" xfId="1675"/>
    <cellStyle name="_pgvcl-costal_MIS_JND - 5_Point 14.a Transformers Failure_JGY BM Cross FDR" xfId="1676"/>
    <cellStyle name="_pgvcl-costal_MIS_JND - 5_point 20. Accident" xfId="1677"/>
    <cellStyle name="_pgvcl-costal_MIS_JND - 5_point 20. Accident_JGY BM Cross FDR" xfId="1678"/>
    <cellStyle name="_pgvcl-costal_MIS_JND - 5_SE 14-05-09" xfId="1679"/>
    <cellStyle name="_pgvcl-costal_MIS_JND - 5_SE 14-05-09_JGY BM Cross FDR" xfId="1680"/>
    <cellStyle name="_pgvcl-costal_MIS_JND - 5_SEs Conf 16 06 09 Tech - 2 details" xfId="1681"/>
    <cellStyle name="_pgvcl-costal_MIS_JND - 5_SEs Conf. 14.12.2008" xfId="1682"/>
    <cellStyle name="_pgvcl-costal_MIS_JND - 5_SEs Conf. 14.12.2008_JGY BM Cross FDR" xfId="1683"/>
    <cellStyle name="_pgvcl-costal_MIS_JND - 5_T&amp;D August-08" xfId="1684"/>
    <cellStyle name="_pgvcl-costal_MIS_JND - 5_T&amp;D Dec-08" xfId="1685"/>
    <cellStyle name="_pgvcl-costal_MIS_JND - 5_T&amp;D July-08" xfId="1686"/>
    <cellStyle name="_pgvcl-costal_MIS_JND - 5_t-2Other Points 14.05.09" xfId="1687"/>
    <cellStyle name="_pgvcl-costal_MIS_JND - 5_TECH-2 SOFT COPY" xfId="1688"/>
    <cellStyle name="_pgvcl-costal_MIS_JND - 5_URBAN WEEKLY PBR CO" xfId="1689"/>
    <cellStyle name="_pgvcl-costal_MIS_JND - 5_Weekly Urban PBR CO - 06-03-09 to 12-03-09" xfId="1690"/>
    <cellStyle name="_pgvcl-costal_MIS_JND - 5_Weekly Urban PBR CO - 20-02-09 to 26-02-09" xfId="1691"/>
    <cellStyle name="_pgvcl-costal_MIS_JND - 5_Weekly Urban PBR CO - 30-01-09 to 05-02-09" xfId="1692"/>
    <cellStyle name="_pgvcl-costal_MIS_JND - 5_Weekly Urban PBR CO - 9-1-09 to 15.01.09" xfId="1693"/>
    <cellStyle name="_pgvcl-costal_MIS_JND - 7 T3" xfId="1694"/>
    <cellStyle name="_pgvcl-costal_MIS_JND T-3 MIS" xfId="1695"/>
    <cellStyle name="_pgvcl-costal_MIS_JND-5 T3" xfId="1696"/>
    <cellStyle name="_pgvcl-costal_MIS_NEW MIS Jan - 08" xfId="1697"/>
    <cellStyle name="_pgvcl-costal_MIS_NEW MIS Jan - 08_Book-DMTHL" xfId="1698"/>
    <cellStyle name="_pgvcl-costal_MIS_NEW MIS Jan - 08_Comparison" xfId="1699"/>
    <cellStyle name="_pgvcl-costal_MIS_NEW MIS Jan - 08_Details of Selected Urban Feeder" xfId="1700"/>
    <cellStyle name="_pgvcl-costal_MIS_NEW MIS Jan - 08_DHTHL JAN-09" xfId="1701"/>
    <cellStyle name="_pgvcl-costal_MIS_NEW MIS Jan - 08_dnthl Feb-09" xfId="1702"/>
    <cellStyle name="_pgvcl-costal_MIS_NEW MIS Jan - 08_JGY BM Cross FDR" xfId="1703"/>
    <cellStyle name="_pgvcl-costal_MIS_NEW MIS Jan - 08_JGYssss" xfId="1704"/>
    <cellStyle name="_pgvcl-costal_MIS_NEW MIS Jan - 08_PBR" xfId="1705"/>
    <cellStyle name="_pgvcl-costal_MIS_NEW MIS Jan - 08_PBR CO_DAILY REPORT GIS - 20-01-09" xfId="1706"/>
    <cellStyle name="_pgvcl-costal_MIS_NEW MIS Jan - 08_T&amp;D August-08" xfId="1707"/>
    <cellStyle name="_pgvcl-costal_MIS_NEW MIS Jan - 08_T&amp;D Dec-08" xfId="1708"/>
    <cellStyle name="_pgvcl-costal_MIS_NEW MIS Jan - 08_T&amp;D July-08" xfId="1709"/>
    <cellStyle name="_pgvcl-costal_MIS_NEW MIS Jan - 08_URBAN WEEKLY PBR CO" xfId="1710"/>
    <cellStyle name="_pgvcl-costal_MIS_NEW MIS Jan - 08_Weekly Urban PBR CO - 06-03-09 to 12-03-09" xfId="1711"/>
    <cellStyle name="_pgvcl-costal_MIS_NEW MIS Jan - 08_Weekly Urban PBR CO - 20-02-09 to 26-02-09" xfId="1712"/>
    <cellStyle name="_pgvcl-costal_MIS_NEW MIS Jan - 08_Weekly Urban PBR CO - 30-01-09 to 05-02-09" xfId="1713"/>
    <cellStyle name="_pgvcl-costal_MIS_NEW MIS Jan - 08_Weekly Urban PBR CO - 9-1-09 to 15.01.09" xfId="1714"/>
    <cellStyle name="_pgvcl-costal_MIS_Other Points 01.07.09" xfId="1715"/>
    <cellStyle name="_pgvcl-costal_MIS_Other Points 16 04 09" xfId="1716"/>
    <cellStyle name="_pgvcl-costal_MIS_PBR" xfId="1717"/>
    <cellStyle name="_pgvcl-costal_MIS_PBR CO_DAILY REPORT GIS - 20-01-09" xfId="1718"/>
    <cellStyle name="_pgvcl-costal_MIS_point 10 Accd Main file SEs Conf 11.02.08" xfId="1719"/>
    <cellStyle name="_pgvcl-costal_MIS_Point 14.a Transformers Failure" xfId="1720"/>
    <cellStyle name="_pgvcl-costal_MIS_Point 14.a Transformers Failure_JGY BM Cross FDR" xfId="1721"/>
    <cellStyle name="_pgvcl-costal_MIS_point 20. Accident" xfId="1722"/>
    <cellStyle name="_pgvcl-costal_MIS_point 20. Accident_JGY BM Cross FDR" xfId="1723"/>
    <cellStyle name="_pgvcl-costal_MIS_SE 14-05-09" xfId="1724"/>
    <cellStyle name="_pgvcl-costal_MIS_SE 14-05-09_JGY BM Cross FDR" xfId="1725"/>
    <cellStyle name="_pgvcl-costal_MIS_SEs Conf 16 06 09 Tech - 2 details" xfId="1726"/>
    <cellStyle name="_pgvcl-costal_MIS_SEs Conf. 14.12.2008" xfId="1727"/>
    <cellStyle name="_pgvcl-costal_MIS_SEs Conf. 14.12.2008_JGY BM Cross FDR" xfId="1728"/>
    <cellStyle name="_pgvcl-costal_MIS_T&amp;D August-08" xfId="1729"/>
    <cellStyle name="_pgvcl-costal_MIS_T&amp;D Dec-08" xfId="1730"/>
    <cellStyle name="_pgvcl-costal_MIS_T&amp;D July-08" xfId="1731"/>
    <cellStyle name="_pgvcl-costal_MIS_t-2Other Points 14.05.09" xfId="1732"/>
    <cellStyle name="_pgvcl-costal_MIS_TECH-2 SOFT COPY" xfId="1733"/>
    <cellStyle name="_pgvcl-costal_MIS_URBAN WEEKLY PBR CO" xfId="1734"/>
    <cellStyle name="_pgvcl-costal_MIS_Weekly Urban PBR CO - 06-03-09 to 12-03-09" xfId="1735"/>
    <cellStyle name="_pgvcl-costal_MIS_Weekly Urban PBR CO - 20-02-09 to 26-02-09" xfId="1736"/>
    <cellStyle name="_pgvcl-costal_MIS_Weekly Urban PBR CO - 30-01-09 to 05-02-09" xfId="1737"/>
    <cellStyle name="_pgvcl-costal_MIS_Weekly Urban PBR CO - 9-1-09 to 15.01.09" xfId="1738"/>
    <cellStyle name="_pgvcl-costal_NEW MIS From JND Circle" xfId="1739"/>
    <cellStyle name="_pgvcl-costal_NEW MIS From JND Circle_Book-DMTHL" xfId="1740"/>
    <cellStyle name="_pgvcl-costal_NEW MIS From JND Circle_Comparison" xfId="1741"/>
    <cellStyle name="_pgvcl-costal_NEW MIS From JND Circle_Details of Selected Urban Feeder" xfId="1742"/>
    <cellStyle name="_pgvcl-costal_NEW MIS From JND Circle_DHTHL JAN-09" xfId="1743"/>
    <cellStyle name="_pgvcl-costal_NEW MIS From JND Circle_dnthl Feb-09" xfId="1744"/>
    <cellStyle name="_pgvcl-costal_NEW MIS From JND Circle_JGY BM Cross FDR" xfId="1745"/>
    <cellStyle name="_pgvcl-costal_NEW MIS From JND Circle_JGYssss" xfId="1746"/>
    <cellStyle name="_pgvcl-costal_NEW MIS From JND Circle_PBR" xfId="1747"/>
    <cellStyle name="_pgvcl-costal_NEW MIS From JND Circle_PBR CO_DAILY REPORT GIS - 20-01-09" xfId="1748"/>
    <cellStyle name="_pgvcl-costal_NEW MIS From JND Circle_T&amp;D August-08" xfId="1749"/>
    <cellStyle name="_pgvcl-costal_NEW MIS From JND Circle_T&amp;D Dec-08" xfId="1750"/>
    <cellStyle name="_pgvcl-costal_NEW MIS From JND Circle_T&amp;D July-08" xfId="1751"/>
    <cellStyle name="_pgvcl-costal_NEW MIS From JND Circle_URBAN WEEKLY PBR CO" xfId="1752"/>
    <cellStyle name="_pgvcl-costal_NEW MIS From JND Circle_Weekly Urban PBR CO - 06-03-09 to 12-03-09" xfId="1753"/>
    <cellStyle name="_pgvcl-costal_NEW MIS From JND Circle_Weekly Urban PBR CO - 20-02-09 to 26-02-09" xfId="1754"/>
    <cellStyle name="_pgvcl-costal_NEW MIS From JND Circle_Weekly Urban PBR CO - 30-01-09 to 05-02-09" xfId="1755"/>
    <cellStyle name="_pgvcl-costal_NEW MIS From JND Circle_Weekly Urban PBR CO - 9-1-09 to 15.01.09" xfId="1756"/>
    <cellStyle name="_pgvcl-costal_NEW MIS Jan - 08" xfId="1757"/>
    <cellStyle name="_pgvcl-costal_NEW MIS Jan - 08_Book-DMTHL" xfId="1758"/>
    <cellStyle name="_pgvcl-costal_NEW MIS Jan - 08_Comparison" xfId="1759"/>
    <cellStyle name="_pgvcl-costal_NEW MIS Jan - 08_Details of Selected Urban Feeder" xfId="1760"/>
    <cellStyle name="_pgvcl-costal_NEW MIS Jan - 08_DHTHL JAN-09" xfId="1761"/>
    <cellStyle name="_pgvcl-costal_NEW MIS Jan - 08_dnthl Feb-09" xfId="1762"/>
    <cellStyle name="_pgvcl-costal_NEW MIS Jan - 08_JGY BM Cross FDR" xfId="1763"/>
    <cellStyle name="_pgvcl-costal_NEW MIS Jan - 08_JGYssss" xfId="1764"/>
    <cellStyle name="_pgvcl-costal_NEW MIS Jan - 08_PBR" xfId="1765"/>
    <cellStyle name="_pgvcl-costal_NEW MIS Jan - 08_PBR CO_DAILY REPORT GIS - 20-01-09" xfId="1766"/>
    <cellStyle name="_pgvcl-costal_NEW MIS Jan - 08_T&amp;D August-08" xfId="1767"/>
    <cellStyle name="_pgvcl-costal_NEW MIS Jan - 08_T&amp;D Dec-08" xfId="1768"/>
    <cellStyle name="_pgvcl-costal_NEW MIS Jan - 08_T&amp;D July-08" xfId="1769"/>
    <cellStyle name="_pgvcl-costal_NEW MIS Jan - 08_URBAN WEEKLY PBR CO" xfId="1770"/>
    <cellStyle name="_pgvcl-costal_NEW MIS Jan - 08_Weekly Urban PBR CO - 06-03-09 to 12-03-09" xfId="1771"/>
    <cellStyle name="_pgvcl-costal_NEW MIS Jan - 08_Weekly Urban PBR CO - 20-02-09 to 26-02-09" xfId="1772"/>
    <cellStyle name="_pgvcl-costal_NEW MIS Jan - 08_Weekly Urban PBR CO - 30-01-09 to 05-02-09" xfId="1773"/>
    <cellStyle name="_pgvcl-costal_NEW MIS Jan - 08_Weekly Urban PBR CO - 9-1-09 to 15.01.09" xfId="1774"/>
    <cellStyle name="_pgvcl-costal_NEWMISFromJNDCircle-DEC07" xfId="1775"/>
    <cellStyle name="_pgvcl-costal_Other Points 01.07.09" xfId="1776"/>
    <cellStyle name="_pgvcl-costal_PBR" xfId="1777"/>
    <cellStyle name="_pgvcl-costal_PBR CO_DAILY REPORT GIS - 20-01-09" xfId="1778"/>
    <cellStyle name="_pgvcl-costal_PBR-7" xfId="1779"/>
    <cellStyle name="_pgvcl-costal_pgvcl" xfId="1780"/>
    <cellStyle name="_pgvcl-costal_PGVCL-" xfId="1781"/>
    <cellStyle name="_pgvcl-costal_PGVCL- 5-VAL" xfId="1782"/>
    <cellStyle name="_pgvcl-costal_PGVCL- 5-VAL_JGY BM Cross FDR" xfId="1783"/>
    <cellStyle name="_pgvcl-costal_PGVCL_1" xfId="1784"/>
    <cellStyle name="_pgvcl-costal_PGVCL_1_JGY BM Cross FDR" xfId="1785"/>
    <cellStyle name="_pgvcl-costal_pgvcl_Accident - 2007-08 + 2008-09 -- 15.12.08" xfId="1786"/>
    <cellStyle name="_pgvcl-costal_PGVCL-_Accident - 2007-08 + 2008-09 -- 15.12.08" xfId="1787"/>
    <cellStyle name="_pgvcl-costal_pgvcl_Accident S-dn wise up to Nov. 08 for SE's Conference" xfId="1788"/>
    <cellStyle name="_pgvcl-costal_PGVCL-_Accident S-dn wise up to Nov. 08 for SE's Conference" xfId="1789"/>
    <cellStyle name="_pgvcl-costal_pgvcl_AG TC METER " xfId="1790"/>
    <cellStyle name="_pgvcl-costal_PGVCL-_AG TC METER " xfId="1791"/>
    <cellStyle name="_pgvcl-costal_pgvcl_AG TC METER _Book-DMTHL" xfId="1792"/>
    <cellStyle name="_pgvcl-costal_PGVCL-_AG TC METER _Book-DMTHL" xfId="1793"/>
    <cellStyle name="_pgvcl-costal_pgvcl_AG TC METER _Comparison" xfId="1794"/>
    <cellStyle name="_pgvcl-costal_PGVCL-_AG TC METER _Comparison" xfId="1795"/>
    <cellStyle name="_pgvcl-costal_pgvcl_AG TC METER _Details of Selected Urban Feeder" xfId="1796"/>
    <cellStyle name="_pgvcl-costal_PGVCL-_AG TC METER _Details of Selected Urban Feeder" xfId="1797"/>
    <cellStyle name="_pgvcl-costal_pgvcl_AG TC METER _DHTHL JAN-09" xfId="1798"/>
    <cellStyle name="_pgvcl-costal_PGVCL-_AG TC METER _DHTHL JAN-09" xfId="1799"/>
    <cellStyle name="_pgvcl-costal_pgvcl_AG TC METER _dnthl Feb-09" xfId="1800"/>
    <cellStyle name="_pgvcl-costal_PGVCL-_AG TC METER _dnthl Feb-09" xfId="1801"/>
    <cellStyle name="_pgvcl-costal_pgvcl_AG TC METER _JGY BM Cross FDR" xfId="1802"/>
    <cellStyle name="_pgvcl-costal_PGVCL-_AG TC METER _JGY BM Cross FDR" xfId="1803"/>
    <cellStyle name="_pgvcl-costal_pgvcl_AG TC METER _JGYssss" xfId="1804"/>
    <cellStyle name="_pgvcl-costal_PGVCL-_AG TC METER _JGYssss" xfId="1805"/>
    <cellStyle name="_pgvcl-costal_pgvcl_AG TC METER _PBR" xfId="1806"/>
    <cellStyle name="_pgvcl-costal_PGVCL-_AG TC METER _PBR" xfId="1807"/>
    <cellStyle name="_pgvcl-costal_pgvcl_AG TC METER _PBR CO_DAILY REPORT GIS - 20-01-09" xfId="1808"/>
    <cellStyle name="_pgvcl-costal_PGVCL-_AG TC METER _PBR CO_DAILY REPORT GIS - 20-01-09" xfId="1809"/>
    <cellStyle name="_pgvcl-costal_pgvcl_AG TC METER _T&amp;D August-08" xfId="1810"/>
    <cellStyle name="_pgvcl-costal_PGVCL-_AG TC METER _T&amp;D August-08" xfId="1811"/>
    <cellStyle name="_pgvcl-costal_pgvcl_AG TC METER _T&amp;D Dec-08" xfId="1812"/>
    <cellStyle name="_pgvcl-costal_PGVCL-_AG TC METER _T&amp;D Dec-08" xfId="1813"/>
    <cellStyle name="_pgvcl-costal_pgvcl_AG TC METER _T&amp;D July-08" xfId="1814"/>
    <cellStyle name="_pgvcl-costal_PGVCL-_AG TC METER _T&amp;D July-08" xfId="1815"/>
    <cellStyle name="_pgvcl-costal_pgvcl_AG TC METER _URBAN WEEKLY PBR CO" xfId="1816"/>
    <cellStyle name="_pgvcl-costal_PGVCL-_AG TC METER _URBAN WEEKLY PBR CO" xfId="1817"/>
    <cellStyle name="_pgvcl-costal_pgvcl_AG TC METER _Weekly Urban PBR CO - 06-03-09 to 12-03-09" xfId="1818"/>
    <cellStyle name="_pgvcl-costal_PGVCL-_AG TC METER _Weekly Urban PBR CO - 06-03-09 to 12-03-09" xfId="1819"/>
    <cellStyle name="_pgvcl-costal_pgvcl_AG TC METER _Weekly Urban PBR CO - 20-02-09 to 26-02-09" xfId="1820"/>
    <cellStyle name="_pgvcl-costal_PGVCL-_AG TC METER _Weekly Urban PBR CO - 20-02-09 to 26-02-09" xfId="1821"/>
    <cellStyle name="_pgvcl-costal_pgvcl_AG TC METER _Weekly Urban PBR CO - 30-01-09 to 05-02-09" xfId="1822"/>
    <cellStyle name="_pgvcl-costal_PGVCL-_AG TC METER _Weekly Urban PBR CO - 30-01-09 to 05-02-09" xfId="1823"/>
    <cellStyle name="_pgvcl-costal_pgvcl_AG TC METER _Weekly Urban PBR CO - 9-1-09 to 15.01.09" xfId="1824"/>
    <cellStyle name="_pgvcl-costal_PGVCL-_AG TC METER _Weekly Urban PBR CO - 9-1-09 to 15.01.09" xfId="1825"/>
    <cellStyle name="_pgvcl-costal_pgvcl_Book-DMTHL" xfId="1826"/>
    <cellStyle name="_pgvcl-costal_PGVCL-_Book-DMTHL" xfId="1827"/>
    <cellStyle name="_pgvcl-costal_pgvcl_BVN-7" xfId="1828"/>
    <cellStyle name="_pgvcl-costal_PGVCL-_BVN-7" xfId="1829"/>
    <cellStyle name="_pgvcl-costal_pgvcl_BVN-7_JGY BM Cross FDR" xfId="1830"/>
    <cellStyle name="_pgvcl-costal_PGVCL-_BVN-7_JGY BM Cross FDR" xfId="1831"/>
    <cellStyle name="_pgvcl-costal_pgvcl_Comparison" xfId="1832"/>
    <cellStyle name="_pgvcl-costal_PGVCL-_Comparison" xfId="1833"/>
    <cellStyle name="_pgvcl-costal_pgvcl_Details of Selected Urban Feeder" xfId="1834"/>
    <cellStyle name="_pgvcl-costal_PGVCL-_Details of Selected Urban Feeder" xfId="1835"/>
    <cellStyle name="_pgvcl-costal_pgvcl_DHTHL JAN-09" xfId="1836"/>
    <cellStyle name="_pgvcl-costal_PGVCL-_DHTHL JAN-09" xfId="1837"/>
    <cellStyle name="_pgvcl-costal_pgvcl_dnthl Feb-09" xfId="1838"/>
    <cellStyle name="_pgvcl-costal_PGVCL-_dnthl Feb-09" xfId="1839"/>
    <cellStyle name="_pgvcl-costal_pgvcl_JGY BM Cross FDR" xfId="1840"/>
    <cellStyle name="_pgvcl-costal_PGVCL-_JGY BM Cross FDR" xfId="1841"/>
    <cellStyle name="_pgvcl-costal_pgvcl_JGYssss" xfId="1842"/>
    <cellStyle name="_pgvcl-costal_PGVCL-_JGYssss" xfId="1843"/>
    <cellStyle name="_pgvcl-costal_pgvcl_JMN-7" xfId="1844"/>
    <cellStyle name="_pgvcl-costal_PGVCL-_JMN-7" xfId="1845"/>
    <cellStyle name="_pgvcl-costal_pgvcl_JMN-7_JGY BM Cross FDR" xfId="1846"/>
    <cellStyle name="_pgvcl-costal_PGVCL-_JMN-7_JGY BM Cross FDR" xfId="1847"/>
    <cellStyle name="_pgvcl-costal_pgvcl_JMN-77" xfId="1848"/>
    <cellStyle name="_pgvcl-costal_PGVCL-_JMN-77" xfId="1849"/>
    <cellStyle name="_pgvcl-costal_pgvcl_JMN-77_JGY BM Cross FDR" xfId="1850"/>
    <cellStyle name="_pgvcl-costal_PGVCL-_JMN-77_JGY BM Cross FDR" xfId="1851"/>
    <cellStyle name="_pgvcl-costal_pgvcl_JND - 5" xfId="1852"/>
    <cellStyle name="_pgvcl-costal_PGVCL-_JND - 5" xfId="1853"/>
    <cellStyle name="_pgvcl-costal_pgvcl_JND - 5 CFL" xfId="1854"/>
    <cellStyle name="_pgvcl-costal_PGVCL-_JND - 5 CFL" xfId="1855"/>
    <cellStyle name="_pgvcl-costal_pgvcl_JND - 5 CFL_JGY BM Cross FDR" xfId="1856"/>
    <cellStyle name="_pgvcl-costal_PGVCL-_JND - 5 CFL_JGY BM Cross FDR" xfId="1857"/>
    <cellStyle name="_pgvcl-costal_pgvcl_JND - 5_03.03.09 Accd, Coastal" xfId="1858"/>
    <cellStyle name="_pgvcl-costal_PGVCL-_JND - 5_03.03.09 Accd, Coastal" xfId="1859"/>
    <cellStyle name="_pgvcl-costal_pgvcl_JND - 5_Accd &amp; Coastal 24.08.09" xfId="1860"/>
    <cellStyle name="_pgvcl-costal_PGVCL-_JND - 5_Accd &amp; Coastal 24.08.09" xfId="1861"/>
    <cellStyle name="_pgvcl-costal_pgvcl_JND - 5_Accd MOSE 04.08.09" xfId="1862"/>
    <cellStyle name="_pgvcl-costal_PGVCL-_JND - 5_Accd MOSE 04.08.09" xfId="1863"/>
    <cellStyle name="_pgvcl-costal_pgvcl_JND - 5_Accident &amp; Coastal" xfId="1864"/>
    <cellStyle name="_pgvcl-costal_PGVCL-_JND - 5_Accident &amp; Coastal" xfId="1865"/>
    <cellStyle name="_pgvcl-costal_pgvcl_JND - 5_Bill Pending - SEs Conf. 21.08.08" xfId="1866"/>
    <cellStyle name="_pgvcl-costal_PGVCL-_JND - 5_Bill Pending - SEs Conf. 21.08.08" xfId="1867"/>
    <cellStyle name="_pgvcl-costal_pgvcl_JND - 5_Bill Pending - SEs Conf. 21.08.08_JGY BM Cross FDR" xfId="1868"/>
    <cellStyle name="_pgvcl-costal_PGVCL-_JND - 5_Bill Pending - SEs Conf. 21.08.08_JGY BM Cross FDR" xfId="1869"/>
    <cellStyle name="_pgvcl-costal_pgvcl_JND - 5_BOARD 30-03-09" xfId="1870"/>
    <cellStyle name="_pgvcl-costal_PGVCL-_JND - 5_BOARD 30-03-09" xfId="1871"/>
    <cellStyle name="_pgvcl-costal_pgvcl_JND - 5_BOARD 30-03-09_JGY BM Cross FDR" xfId="1872"/>
    <cellStyle name="_pgvcl-costal_PGVCL-_JND - 5_BOARD 30-03-09_JGY BM Cross FDR" xfId="1873"/>
    <cellStyle name="_pgvcl-costal_pgvcl_JND - 5_Book-DMTHL" xfId="1874"/>
    <cellStyle name="_pgvcl-costal_PGVCL-_JND - 5_Book-DMTHL" xfId="1875"/>
    <cellStyle name="_pgvcl-costal_pgvcl_JND - 5_Circle wise Coastal" xfId="1876"/>
    <cellStyle name="_pgvcl-costal_PGVCL-_JND - 5_Circle wise Coastal" xfId="1877"/>
    <cellStyle name="_pgvcl-costal_pgvcl_JND - 5_Coastal TS" xfId="1878"/>
    <cellStyle name="_pgvcl-costal_PGVCL-_JND - 5_Coastal TS" xfId="1879"/>
    <cellStyle name="_pgvcl-costal_pgvcl_JND - 5_Comparison" xfId="1880"/>
    <cellStyle name="_pgvcl-costal_PGVCL-_JND - 5_Comparison" xfId="1881"/>
    <cellStyle name="_pgvcl-costal_pgvcl_JND - 5_Details of Selected Urban Feeder" xfId="1882"/>
    <cellStyle name="_pgvcl-costal_PGVCL-_JND - 5_Details of Selected Urban Feeder" xfId="1883"/>
    <cellStyle name="_pgvcl-costal_pgvcl_JND - 5_DHTHL JAN-09" xfId="1884"/>
    <cellStyle name="_pgvcl-costal_PGVCL-_JND - 5_DHTHL JAN-09" xfId="1885"/>
    <cellStyle name="_pgvcl-costal_pgvcl_JND - 5_dnthl Feb-09" xfId="1886"/>
    <cellStyle name="_pgvcl-costal_PGVCL-_JND - 5_dnthl Feb-09" xfId="1887"/>
    <cellStyle name="_pgvcl-costal_pgvcl_JND - 5_HOD 16-04-09 Transformer" xfId="1888"/>
    <cellStyle name="_pgvcl-costal_PGVCL-_JND - 5_HOD 16-04-09 Transformer" xfId="1889"/>
    <cellStyle name="_pgvcl-costal_pgvcl_JND - 5_HOD 16-04-09 Transformer_JGY BM Cross FDR" xfId="1890"/>
    <cellStyle name="_pgvcl-costal_PGVCL-_JND - 5_HOD 16-04-09 Transformer_JGY BM Cross FDR" xfId="1891"/>
    <cellStyle name="_pgvcl-costal_pgvcl_JND - 5_JGY BM Cross FDR" xfId="1892"/>
    <cellStyle name="_pgvcl-costal_PGVCL-_JND - 5_JGY BM Cross FDR" xfId="1893"/>
    <cellStyle name="_pgvcl-costal_pgvcl_JND - 5_JGYssss" xfId="1894"/>
    <cellStyle name="_pgvcl-costal_PGVCL-_JND - 5_JGYssss" xfId="1895"/>
    <cellStyle name="_pgvcl-costal_pgvcl_JND - 5_Other Points 01.07.09" xfId="1896"/>
    <cellStyle name="_pgvcl-costal_PGVCL-_JND - 5_Other Points 01.07.09" xfId="1897"/>
    <cellStyle name="_pgvcl-costal_pgvcl_JND - 5_Other Points 16 04 09" xfId="1898"/>
    <cellStyle name="_pgvcl-costal_PGVCL-_JND - 5_Other Points 16 04 09" xfId="1899"/>
    <cellStyle name="_pgvcl-costal_pgvcl_JND - 5_PBR" xfId="1900"/>
    <cellStyle name="_pgvcl-costal_PGVCL-_JND - 5_PBR" xfId="1901"/>
    <cellStyle name="_pgvcl-costal_pgvcl_JND - 5_PBR CO_DAILY REPORT GIS - 20-01-09" xfId="1902"/>
    <cellStyle name="_pgvcl-costal_PGVCL-_JND - 5_PBR CO_DAILY REPORT GIS - 20-01-09" xfId="1903"/>
    <cellStyle name="_pgvcl-costal_pgvcl_JND - 5_point 10 Accd Main file SEs Conf 11.02.08" xfId="1904"/>
    <cellStyle name="_pgvcl-costal_PGVCL-_JND - 5_point 10 Accd Main file SEs Conf 11.02.08" xfId="1905"/>
    <cellStyle name="_pgvcl-costal_pgvcl_JND - 5_Point 14.a Transformers Failure" xfId="1906"/>
    <cellStyle name="_pgvcl-costal_PGVCL-_JND - 5_Point 14.a Transformers Failure" xfId="1907"/>
    <cellStyle name="_pgvcl-costal_pgvcl_JND - 5_Point 14.a Transformers Failure_JGY BM Cross FDR" xfId="1908"/>
    <cellStyle name="_pgvcl-costal_PGVCL-_JND - 5_Point 14.a Transformers Failure_JGY BM Cross FDR" xfId="1909"/>
    <cellStyle name="_pgvcl-costal_pgvcl_JND - 5_point 20. Accident" xfId="1910"/>
    <cellStyle name="_pgvcl-costal_PGVCL-_JND - 5_point 20. Accident" xfId="1911"/>
    <cellStyle name="_pgvcl-costal_pgvcl_JND - 5_point 20. Accident_JGY BM Cross FDR" xfId="1912"/>
    <cellStyle name="_pgvcl-costal_PGVCL-_JND - 5_point 20. Accident_JGY BM Cross FDR" xfId="1913"/>
    <cellStyle name="_pgvcl-costal_pgvcl_JND - 5_SE 14-05-09" xfId="1914"/>
    <cellStyle name="_pgvcl-costal_PGVCL-_JND - 5_SE 14-05-09" xfId="1915"/>
    <cellStyle name="_pgvcl-costal_pgvcl_JND - 5_SE 14-05-09_JGY BM Cross FDR" xfId="1916"/>
    <cellStyle name="_pgvcl-costal_PGVCL-_JND - 5_SE 14-05-09_JGY BM Cross FDR" xfId="1917"/>
    <cellStyle name="_pgvcl-costal_pgvcl_JND - 5_SEs Conf 16 06 09 Tech - 2 details" xfId="1918"/>
    <cellStyle name="_pgvcl-costal_PGVCL-_JND - 5_SEs Conf 16 06 09 Tech - 2 details" xfId="1919"/>
    <cellStyle name="_pgvcl-costal_pgvcl_JND - 5_SEs Conf. 14.12.2008" xfId="1920"/>
    <cellStyle name="_pgvcl-costal_PGVCL-_JND - 5_SEs Conf. 14.12.2008" xfId="1921"/>
    <cellStyle name="_pgvcl-costal_pgvcl_JND - 5_SEs Conf. 14.12.2008_JGY BM Cross FDR" xfId="1922"/>
    <cellStyle name="_pgvcl-costal_PGVCL-_JND - 5_SEs Conf. 14.12.2008_JGY BM Cross FDR" xfId="1923"/>
    <cellStyle name="_pgvcl-costal_pgvcl_JND - 5_T&amp;D August-08" xfId="1924"/>
    <cellStyle name="_pgvcl-costal_PGVCL-_JND - 5_T&amp;D August-08" xfId="1925"/>
    <cellStyle name="_pgvcl-costal_pgvcl_JND - 5_T&amp;D Dec-08" xfId="1926"/>
    <cellStyle name="_pgvcl-costal_PGVCL-_JND - 5_T&amp;D Dec-08" xfId="1927"/>
    <cellStyle name="_pgvcl-costal_pgvcl_JND - 5_T&amp;D July-08" xfId="1928"/>
    <cellStyle name="_pgvcl-costal_PGVCL-_JND - 5_T&amp;D July-08" xfId="1929"/>
    <cellStyle name="_pgvcl-costal_pgvcl_JND - 5_t-2Other Points 14.05.09" xfId="1930"/>
    <cellStyle name="_pgvcl-costal_PGVCL-_JND - 5_t-2Other Points 14.05.09" xfId="1931"/>
    <cellStyle name="_pgvcl-costal_pgvcl_JND - 5_TECH-2 SOFT COPY" xfId="1932"/>
    <cellStyle name="_pgvcl-costal_PGVCL-_JND - 5_TECH-2 SOFT COPY" xfId="1933"/>
    <cellStyle name="_pgvcl-costal_pgvcl_JND - 5_URBAN WEEKLY PBR CO" xfId="1934"/>
    <cellStyle name="_pgvcl-costal_PGVCL-_JND - 5_URBAN WEEKLY PBR CO" xfId="1935"/>
    <cellStyle name="_pgvcl-costal_pgvcl_JND - 5_Weekly Urban PBR CO - 06-03-09 to 12-03-09" xfId="1936"/>
    <cellStyle name="_pgvcl-costal_PGVCL-_JND - 5_Weekly Urban PBR CO - 06-03-09 to 12-03-09" xfId="1937"/>
    <cellStyle name="_pgvcl-costal_pgvcl_JND - 5_Weekly Urban PBR CO - 20-02-09 to 26-02-09" xfId="1938"/>
    <cellStyle name="_pgvcl-costal_PGVCL-_JND - 5_Weekly Urban PBR CO - 20-02-09 to 26-02-09" xfId="1939"/>
    <cellStyle name="_pgvcl-costal_pgvcl_JND - 5_Weekly Urban PBR CO - 30-01-09 to 05-02-09" xfId="1940"/>
    <cellStyle name="_pgvcl-costal_PGVCL-_JND - 5_Weekly Urban PBR CO - 30-01-09 to 05-02-09" xfId="1941"/>
    <cellStyle name="_pgvcl-costal_pgvcl_JND - 5_Weekly Urban PBR CO - 9-1-09 to 15.01.09" xfId="1942"/>
    <cellStyle name="_pgvcl-costal_PGVCL-_JND - 5_Weekly Urban PBR CO - 9-1-09 to 15.01.09" xfId="1943"/>
    <cellStyle name="_pgvcl-costal_pgvcl_JND - 7" xfId="1944"/>
    <cellStyle name="_pgvcl-costal_PGVCL-_JND - 7" xfId="1945"/>
    <cellStyle name="_pgvcl-costal_pgvcl_JND - 7_JGY BM Cross FDR" xfId="1946"/>
    <cellStyle name="_pgvcl-costal_PGVCL-_JND - 7_JGY BM Cross FDR" xfId="1947"/>
    <cellStyle name="_pgvcl-costal_pgvcl_JND 50" xfId="1948"/>
    <cellStyle name="_pgvcl-costal_PGVCL-_JND 50" xfId="1949"/>
    <cellStyle name="_pgvcl-costal_pgvcl_JND 50_JGY BM Cross FDR" xfId="1950"/>
    <cellStyle name="_pgvcl-costal_PGVCL-_JND 50_JGY BM Cross FDR" xfId="1951"/>
    <cellStyle name="_pgvcl-costal_pgvcl_JND-5" xfId="1952"/>
    <cellStyle name="_pgvcl-costal_PGVCL-_JND-5" xfId="1953"/>
    <cellStyle name="_pgvcl-costal_pgvcl_JND-5_Book-DMTHL" xfId="1954"/>
    <cellStyle name="_pgvcl-costal_PGVCL-_JND-5_Book-DMTHL" xfId="1955"/>
    <cellStyle name="_pgvcl-costal_pgvcl_JND-5_Comparison" xfId="1956"/>
    <cellStyle name="_pgvcl-costal_PGVCL-_JND-5_Comparison" xfId="1957"/>
    <cellStyle name="_pgvcl-costal_pgvcl_JND-5_Details of Selected Urban Feeder" xfId="1958"/>
    <cellStyle name="_pgvcl-costal_PGVCL-_JND-5_Details of Selected Urban Feeder" xfId="1959"/>
    <cellStyle name="_pgvcl-costal_pgvcl_JND-5_DHTHL JAN-09" xfId="1960"/>
    <cellStyle name="_pgvcl-costal_PGVCL-_JND-5_DHTHL JAN-09" xfId="1961"/>
    <cellStyle name="_pgvcl-costal_pgvcl_JND-5_dnthl Feb-09" xfId="1962"/>
    <cellStyle name="_pgvcl-costal_PGVCL-_JND-5_dnthl Feb-09" xfId="1963"/>
    <cellStyle name="_pgvcl-costal_pgvcl_JND-5_JGY BM Cross FDR" xfId="1964"/>
    <cellStyle name="_pgvcl-costal_PGVCL-_JND-5_JGY BM Cross FDR" xfId="1965"/>
    <cellStyle name="_pgvcl-costal_pgvcl_JND-5_JGYssss" xfId="1966"/>
    <cellStyle name="_pgvcl-costal_PGVCL-_JND-5_JGYssss" xfId="1967"/>
    <cellStyle name="_pgvcl-costal_pgvcl_JND-5_PBR" xfId="1968"/>
    <cellStyle name="_pgvcl-costal_PGVCL-_JND-5_PBR" xfId="1969"/>
    <cellStyle name="_pgvcl-costal_pgvcl_JND-5_PBR CO_DAILY REPORT GIS - 20-01-09" xfId="1970"/>
    <cellStyle name="_pgvcl-costal_PGVCL-_JND-5_PBR CO_DAILY REPORT GIS - 20-01-09" xfId="1971"/>
    <cellStyle name="_pgvcl-costal_pgvcl_JND-5_T&amp;D August-08" xfId="1972"/>
    <cellStyle name="_pgvcl-costal_PGVCL-_JND-5_T&amp;D August-08" xfId="1973"/>
    <cellStyle name="_pgvcl-costal_pgvcl_JND-5_T&amp;D Dec-08" xfId="1974"/>
    <cellStyle name="_pgvcl-costal_PGVCL-_JND-5_T&amp;D Dec-08" xfId="1975"/>
    <cellStyle name="_pgvcl-costal_pgvcl_JND-5_T&amp;D July-08" xfId="1976"/>
    <cellStyle name="_pgvcl-costal_PGVCL-_JND-5_T&amp;D July-08" xfId="1977"/>
    <cellStyle name="_pgvcl-costal_pgvcl_JND-5_URBAN WEEKLY PBR CO" xfId="1978"/>
    <cellStyle name="_pgvcl-costal_PGVCL-_JND-5_URBAN WEEKLY PBR CO" xfId="1979"/>
    <cellStyle name="_pgvcl-costal_pgvcl_JND-5_Weekly Urban PBR CO - 06-03-09 to 12-03-09" xfId="1980"/>
    <cellStyle name="_pgvcl-costal_PGVCL-_JND-5_Weekly Urban PBR CO - 06-03-09 to 12-03-09" xfId="1981"/>
    <cellStyle name="_pgvcl-costal_pgvcl_JND-5_Weekly Urban PBR CO - 20-02-09 to 26-02-09" xfId="1982"/>
    <cellStyle name="_pgvcl-costal_PGVCL-_JND-5_Weekly Urban PBR CO - 20-02-09 to 26-02-09" xfId="1983"/>
    <cellStyle name="_pgvcl-costal_pgvcl_JND-5_Weekly Urban PBR CO - 30-01-09 to 05-02-09" xfId="1984"/>
    <cellStyle name="_pgvcl-costal_PGVCL-_JND-5_Weekly Urban PBR CO - 30-01-09 to 05-02-09" xfId="1985"/>
    <cellStyle name="_pgvcl-costal_pgvcl_JND-5_Weekly Urban PBR CO - 9-1-09 to 15.01.09" xfId="1986"/>
    <cellStyle name="_pgvcl-costal_PGVCL-_JND-5_Weekly Urban PBR CO - 9-1-09 to 15.01.09" xfId="1987"/>
    <cellStyle name="_pgvcl-costal_pgvcl_JND-7" xfId="1988"/>
    <cellStyle name="_pgvcl-costal_PGVCL-_JND-7" xfId="1989"/>
    <cellStyle name="_pgvcl-costal_pgvcl_JND-7_JGY BM Cross FDR" xfId="1990"/>
    <cellStyle name="_pgvcl-costal_PGVCL-_JND-7_JGY BM Cross FDR" xfId="1991"/>
    <cellStyle name="_pgvcl-costal_pgvcl_NEW MIS Jan - 08" xfId="1992"/>
    <cellStyle name="_pgvcl-costal_PGVCL-_NEW MIS Jan - 08" xfId="1993"/>
    <cellStyle name="_pgvcl-costal_pgvcl_NEW MIS Jan - 08_Book-DMTHL" xfId="1994"/>
    <cellStyle name="_pgvcl-costal_PGVCL-_NEW MIS Jan - 08_Book-DMTHL" xfId="1995"/>
    <cellStyle name="_pgvcl-costal_pgvcl_NEW MIS Jan - 08_Comparison" xfId="1996"/>
    <cellStyle name="_pgvcl-costal_PGVCL-_NEW MIS Jan - 08_Comparison" xfId="1997"/>
    <cellStyle name="_pgvcl-costal_pgvcl_NEW MIS Jan - 08_Details of Selected Urban Feeder" xfId="1998"/>
    <cellStyle name="_pgvcl-costal_PGVCL-_NEW MIS Jan - 08_Details of Selected Urban Feeder" xfId="1999"/>
    <cellStyle name="_pgvcl-costal_pgvcl_NEW MIS Jan - 08_DHTHL JAN-09" xfId="2000"/>
    <cellStyle name="_pgvcl-costal_PGVCL-_NEW MIS Jan - 08_DHTHL JAN-09" xfId="2001"/>
    <cellStyle name="_pgvcl-costal_pgvcl_NEW MIS Jan - 08_dnthl Feb-09" xfId="2002"/>
    <cellStyle name="_pgvcl-costal_PGVCL-_NEW MIS Jan - 08_dnthl Feb-09" xfId="2003"/>
    <cellStyle name="_pgvcl-costal_pgvcl_NEW MIS Jan - 08_JGY BM Cross FDR" xfId="2004"/>
    <cellStyle name="_pgvcl-costal_PGVCL-_NEW MIS Jan - 08_JGY BM Cross FDR" xfId="2005"/>
    <cellStyle name="_pgvcl-costal_pgvcl_NEW MIS Jan - 08_JGYssss" xfId="2006"/>
    <cellStyle name="_pgvcl-costal_PGVCL-_NEW MIS Jan - 08_JGYssss" xfId="2007"/>
    <cellStyle name="_pgvcl-costal_pgvcl_NEW MIS Jan - 08_PBR" xfId="2008"/>
    <cellStyle name="_pgvcl-costal_PGVCL-_NEW MIS Jan - 08_PBR" xfId="2009"/>
    <cellStyle name="_pgvcl-costal_pgvcl_NEW MIS Jan - 08_PBR CO_DAILY REPORT GIS - 20-01-09" xfId="2010"/>
    <cellStyle name="_pgvcl-costal_PGVCL-_NEW MIS Jan - 08_PBR CO_DAILY REPORT GIS - 20-01-09" xfId="2011"/>
    <cellStyle name="_pgvcl-costal_pgvcl_NEW MIS Jan - 08_T&amp;D August-08" xfId="2012"/>
    <cellStyle name="_pgvcl-costal_PGVCL-_NEW MIS Jan - 08_T&amp;D August-08" xfId="2013"/>
    <cellStyle name="_pgvcl-costal_pgvcl_NEW MIS Jan - 08_T&amp;D Dec-08" xfId="2014"/>
    <cellStyle name="_pgvcl-costal_PGVCL-_NEW MIS Jan - 08_T&amp;D Dec-08" xfId="2015"/>
    <cellStyle name="_pgvcl-costal_pgvcl_NEW MIS Jan - 08_T&amp;D July-08" xfId="2016"/>
    <cellStyle name="_pgvcl-costal_PGVCL-_NEW MIS Jan - 08_T&amp;D July-08" xfId="2017"/>
    <cellStyle name="_pgvcl-costal_pgvcl_NEW MIS Jan - 08_URBAN WEEKLY PBR CO" xfId="2018"/>
    <cellStyle name="_pgvcl-costal_PGVCL-_NEW MIS Jan - 08_URBAN WEEKLY PBR CO" xfId="2019"/>
    <cellStyle name="_pgvcl-costal_pgvcl_NEW MIS Jan - 08_Weekly Urban PBR CO - 06-03-09 to 12-03-09" xfId="2020"/>
    <cellStyle name="_pgvcl-costal_PGVCL-_NEW MIS Jan - 08_Weekly Urban PBR CO - 06-03-09 to 12-03-09" xfId="2021"/>
    <cellStyle name="_pgvcl-costal_pgvcl_NEW MIS Jan - 08_Weekly Urban PBR CO - 20-02-09 to 26-02-09" xfId="2022"/>
    <cellStyle name="_pgvcl-costal_PGVCL-_NEW MIS Jan - 08_Weekly Urban PBR CO - 20-02-09 to 26-02-09" xfId="2023"/>
    <cellStyle name="_pgvcl-costal_pgvcl_NEW MIS Jan - 08_Weekly Urban PBR CO - 30-01-09 to 05-02-09" xfId="2024"/>
    <cellStyle name="_pgvcl-costal_PGVCL-_NEW MIS Jan - 08_Weekly Urban PBR CO - 30-01-09 to 05-02-09" xfId="2025"/>
    <cellStyle name="_pgvcl-costal_pgvcl_NEW MIS Jan - 08_Weekly Urban PBR CO - 9-1-09 to 15.01.09" xfId="2026"/>
    <cellStyle name="_pgvcl-costal_PGVCL-_NEW MIS Jan - 08_Weekly Urban PBR CO - 9-1-09 to 15.01.09" xfId="2027"/>
    <cellStyle name="_pgvcl-costal_pgvcl_NEWMISFromJNDCircle-DEC07" xfId="2028"/>
    <cellStyle name="_pgvcl-costal_PGVCL-_NEWMISFromJNDCircle-DEC07" xfId="2029"/>
    <cellStyle name="_pgvcl-costal_pgvcl_PBR" xfId="2030"/>
    <cellStyle name="_pgvcl-costal_PGVCL-_PBR" xfId="2031"/>
    <cellStyle name="_pgvcl-costal_pgvcl_PBR CO_DAILY REPORT GIS - 20-01-09" xfId="2032"/>
    <cellStyle name="_pgvcl-costal_PGVCL-_PBR CO_DAILY REPORT GIS - 20-01-09" xfId="2033"/>
    <cellStyle name="_pgvcl-costal_pgvcl_PBR-7" xfId="2034"/>
    <cellStyle name="_pgvcl-costal_PGVCL-_PBR-7" xfId="2035"/>
    <cellStyle name="_pgvcl-costal_pgvcl_sept JMN-7" xfId="2036"/>
    <cellStyle name="_pgvcl-costal_PGVCL-_sept JMN-7" xfId="2037"/>
    <cellStyle name="_pgvcl-costal_pgvcl_T&amp;D August-08" xfId="2038"/>
    <cellStyle name="_pgvcl-costal_PGVCL-_T&amp;D August-08" xfId="2039"/>
    <cellStyle name="_pgvcl-costal_pgvcl_T&amp;D Dec-08" xfId="2040"/>
    <cellStyle name="_pgvcl-costal_PGVCL-_T&amp;D Dec-08" xfId="2041"/>
    <cellStyle name="_pgvcl-costal_pgvcl_T&amp;D July-08" xfId="2042"/>
    <cellStyle name="_pgvcl-costal_PGVCL-_T&amp;D July-08" xfId="2043"/>
    <cellStyle name="_pgvcl-costal_pgvcl_URBAN WEEKLY PBR CO" xfId="2044"/>
    <cellStyle name="_pgvcl-costal_PGVCL-_URBAN WEEKLY PBR CO" xfId="2045"/>
    <cellStyle name="_pgvcl-costal_pgvcl_Weekly Urban PBR CO - 06-03-09 to 12-03-09" xfId="2046"/>
    <cellStyle name="_pgvcl-costal_PGVCL-_Weekly Urban PBR CO - 06-03-09 to 12-03-09" xfId="2047"/>
    <cellStyle name="_pgvcl-costal_pgvcl_Weekly Urban PBR CO - 20-02-09 to 26-02-09" xfId="2048"/>
    <cellStyle name="_pgvcl-costal_PGVCL-_Weekly Urban PBR CO - 20-02-09 to 26-02-09" xfId="2049"/>
    <cellStyle name="_pgvcl-costal_pgvcl_Weekly Urban PBR CO - 30-01-09 to 05-02-09" xfId="2050"/>
    <cellStyle name="_pgvcl-costal_PGVCL-_Weekly Urban PBR CO - 30-01-09 to 05-02-09" xfId="2051"/>
    <cellStyle name="_pgvcl-costal_pgvcl_Weekly Urban PBR CO - 9-1-09 to 15.01.09" xfId="2052"/>
    <cellStyle name="_pgvcl-costal_PGVCL-_Weekly Urban PBR CO - 9-1-09 to 15.01.09" xfId="2053"/>
    <cellStyle name="_pgvcl-costal_sept JMN-7" xfId="2054"/>
    <cellStyle name="_pgvcl-costal_T&amp;D August-08" xfId="2055"/>
    <cellStyle name="_pgvcl-costal_T&amp;D Dec-08" xfId="2056"/>
    <cellStyle name="_pgvcl-costal_T&amp;D July-08" xfId="2057"/>
    <cellStyle name="_pgvcl-costal_URBAN WEEKLY PBR CO" xfId="2058"/>
    <cellStyle name="_pgvcl-costal_Weekly Coastal 11.08.08" xfId="2059"/>
    <cellStyle name="_pgvcl-costal_Weekly Coastal 11.08.08_JGY BM Cross FDR" xfId="2060"/>
    <cellStyle name="_pgvcl-costal_Weekly Coastal PGVCL 01.06.09" xfId="2061"/>
    <cellStyle name="_pgvcl-costal_Weekly Coastal PGVCL 12.01.09" xfId="2062"/>
    <cellStyle name="_pgvcl-costal_Weekly Coastal PGVCL 12.01.09_JGY BM Cross FDR" xfId="2063"/>
    <cellStyle name="_pgvcl-costal_Weekly Coastal PGVCL 13.10.08" xfId="2064"/>
    <cellStyle name="_pgvcl-costal_Weekly Coastal PGVCL 13.10.08_JGY BM Cross FDR" xfId="2065"/>
    <cellStyle name="_pgvcl-costal_Weekly Coastal PGVCL 17.08.09" xfId="2066"/>
    <cellStyle name="_pgvcl-costal_Weekly Coastal PGVCL 23.03.09(LACS)" xfId="2067"/>
    <cellStyle name="_pgvcl-costal_Weekly Coastal PGVCL 23.03.09(LACS)_JGY BM Cross FDR" xfId="2068"/>
    <cellStyle name="_pgvcl-costal_Weekly Urban PBR CO - 06-03-09 to 12-03-09" xfId="2069"/>
    <cellStyle name="_pgvcl-costal_Weekly Urban PBR CO - 20-02-09 to 26-02-09" xfId="2070"/>
    <cellStyle name="_pgvcl-costal_Weekly Urban PBR CO - 30-01-09 to 05-02-09" xfId="2071"/>
    <cellStyle name="_pgvcl-costal_Weekly Urban PBR CO - 9-1-09 to 15.01.09" xfId="2072"/>
    <cellStyle name="_PLN" xfId="2073"/>
    <cellStyle name="_PLN CO  KPI  DEC - 07" xfId="2074"/>
    <cellStyle name="_PLN CO  KPI  DEC - 07_JGY BM Cross FDR" xfId="2075"/>
    <cellStyle name="_PLN CO  KPI  NOV - 07 FINAL" xfId="2076"/>
    <cellStyle name="_PLN CO  KPI  NOV - 07 FINAL_JGY BM Cross FDR" xfId="2077"/>
    <cellStyle name="_PLN CO MD FORMATS   DEC-07 FINAL" xfId="2078"/>
    <cellStyle name="_PLN CO MD FORMATS   DEC-07 FINAL_JGY BM Cross FDR" xfId="2079"/>
    <cellStyle name="_PLN_Gondal(REC)-after S'nagar" xfId="2080"/>
    <cellStyle name="_PLN_JGY BM Cross FDR" xfId="2081"/>
    <cellStyle name="_progress" xfId="2082"/>
    <cellStyle name="_progress_JGY BM Cross FDR" xfId="2083"/>
    <cellStyle name="_Pt.3(Costal)" xfId="2084"/>
    <cellStyle name="_Pt.3(Costal)_Activity since Feb-2008" xfId="2085"/>
    <cellStyle name="_Pt.3(Costal)_Activity since Feb-2008_JGY BM Cross FDR" xfId="2086"/>
    <cellStyle name="_Pt.3(Costal)_ANNEXURE-PERFORMANCE" xfId="2087"/>
    <cellStyle name="_Pt.3(Costal)_ANNEXURE-PERFORMANCE_Activity since Feb-2008" xfId="2088"/>
    <cellStyle name="_Pt.3(Costal)_ANNEXURE-PERFORMANCE_Activity since Feb-2008_JGY BM Cross FDR" xfId="2089"/>
    <cellStyle name="_Pt.3(Costal)_Book1" xfId="2090"/>
    <cellStyle name="_Pt.3(Costal)_Book3" xfId="2091"/>
    <cellStyle name="_Pt.3(Costal)_lines coverd in R &amp; M for 2007-08 and 2008-09" xfId="2092"/>
    <cellStyle name="_Pt.3(Costal)_lines coverd in R &amp; M for 2007-08 and 2008-09_JGY BM Cross FDR" xfId="2093"/>
    <cellStyle name="_Pt.3(Costal)_Zone-summary" xfId="2094"/>
    <cellStyle name="_Pt.3(Costal)_Zone-summary_JGY BM Cross FDR" xfId="2095"/>
    <cellStyle name="_REC-2008-09(Asha)" xfId="2096"/>
    <cellStyle name="_REC-2008-09(Asha)_JGY BM Cross FDR" xfId="2097"/>
    <cellStyle name="_rev2part-b" xfId="2098"/>
    <cellStyle name="_Revised Coastal Planning 2009_10 20.05.09" xfId="2099"/>
    <cellStyle name="_Rewiew  of SS Augmentation" xfId="2100"/>
    <cellStyle name="_Rewiew  of SS Augmentation_Activity since Feb-2008" xfId="2101"/>
    <cellStyle name="_Rewiew  of SS Augmentation_Activity since Feb-2008_JGY BM Cross FDR" xfId="2102"/>
    <cellStyle name="_Rewiew  of SS Augmentation_Monthly progress of ss &amp; line Jun-08" xfId="2103"/>
    <cellStyle name="_Rewiew  of SS Augmentation_Monthly progress of ss &amp; line Jun-08_JGY BM Cross FDR" xfId="2104"/>
    <cellStyle name="_Rewiew  of SS Augmentation_Zonal Gondal-R&amp;M MIS Jan(1).-08" xfId="2105"/>
    <cellStyle name="_Rewiew  of SS Augmentation_Zonal Gondal-R&amp;M MIS Jan(1).-08_Activity since Feb-2008" xfId="2106"/>
    <cellStyle name="_Rewiew  of SS Augmentation_Zonal Gondal-R&amp;M MIS Jan(1).-08_Activity since Feb-2008_JGY BM Cross FDR" xfId="2107"/>
    <cellStyle name="_Rewiew  of SS Augmentation_Zonal Gondal-R&amp;M MIS Jan(1).-08_Book1" xfId="2108"/>
    <cellStyle name="_Rewiew  of SS Augmentation_Zonal Gondal-R&amp;M MIS Jan(1).-08_Copy of Zone- Formate for meeting 15.7.08" xfId="2109"/>
    <cellStyle name="_Rewiew  of SS Augmentation_Zonal Gondal-R&amp;M MIS Jan(1).-08_Copy of Zone- Formate for meeting 30.8.08" xfId="2110"/>
    <cellStyle name="_Rewiew  of SS Augmentation_Zonal Gondal-R&amp;M MIS Jan(1).-08_Copy of Zone- Formate for meeting 30.9.08" xfId="2111"/>
    <cellStyle name="_Rewiew  of SS Augmentation_Zonal Gondal-R&amp;M MIS Jan(1).-08_MD Visit - 10.9.08" xfId="2112"/>
    <cellStyle name="_Rewiew  of SS Augmentation_Zonal Gondal-R&amp;M MIS Jan(1).-08_Project Meeting-8.7.08" xfId="2113"/>
    <cellStyle name="_Rewiew  of SS Augmentation_Zone- Formate for meeting 14.6.08" xfId="2114"/>
    <cellStyle name="_Rewiew  of SS Augmentation_Zone- Formate for meeting 14.6.08_JGY BM Cross FDR" xfId="2115"/>
    <cellStyle name="_Rough Work" xfId="2116"/>
    <cellStyle name="_Rough Work_JGY BM Cross FDR" xfId="2117"/>
    <cellStyle name="_Routine_testing_work_done" xfId="2118"/>
    <cellStyle name="_Routine_testing_work_done_% avalability" xfId="2119"/>
    <cellStyle name="_Routine_testing_work_done_% avalability_Activity since Feb-2008" xfId="2120"/>
    <cellStyle name="_Routine_testing_work_done_% avalability_Activity since Feb-2008_JGY BM Cross FDR" xfId="2121"/>
    <cellStyle name="_Routine_testing_work_done_% avalability_Book1" xfId="2122"/>
    <cellStyle name="_Routine_testing_work_done_% avalability_Book1_1" xfId="2123"/>
    <cellStyle name="_Routine_testing_work_done_% avalability_Book1_Book1" xfId="2124"/>
    <cellStyle name="_Routine_testing_work_done_% avalability_Book1_Copy of Zone- Formate for meeting 15.7.08" xfId="2125"/>
    <cellStyle name="_Routine_testing_work_done_% avalability_Book1_Copy of Zone- Formate for meeting 30.8.08" xfId="2126"/>
    <cellStyle name="_Routine_testing_work_done_% avalability_Book1_Copy of Zone- Formate for meeting 30.9.08" xfId="2127"/>
    <cellStyle name="_Routine_testing_work_done_% avalability_Book1_MD Visit - 10.9.08" xfId="2128"/>
    <cellStyle name="_Routine_testing_work_done_% avalability_Book1_Project Meeting-8.7.08" xfId="2129"/>
    <cellStyle name="_Routine_testing_work_done_% avalability_Book3" xfId="2130"/>
    <cellStyle name="_Routine_testing_work_done_% avalability_Book3_Book1" xfId="2131"/>
    <cellStyle name="_Routine_testing_work_done_% avalability_Book3_Copy of Zone- Formate for meeting 15.7.08" xfId="2132"/>
    <cellStyle name="_Routine_testing_work_done_% avalability_Book3_Copy of Zone- Formate for meeting 30.8.08" xfId="2133"/>
    <cellStyle name="_Routine_testing_work_done_% avalability_Book3_Copy of Zone- Formate for meeting 30.9.08" xfId="2134"/>
    <cellStyle name="_Routine_testing_work_done_% avalability_Book3_MD Visit - 10.9.08" xfId="2135"/>
    <cellStyle name="_Routine_testing_work_done_% avalability_Book3_Project Meeting-8.7.08" xfId="2136"/>
    <cellStyle name="_Routine_testing_work_done_% avalability_Copy of Zone- Formate for meeting 15.7.08" xfId="2137"/>
    <cellStyle name="_Routine_testing_work_done_% avalability_Copy of Zone- Formate for meeting 30.8.08" xfId="2138"/>
    <cellStyle name="_Routine_testing_work_done_% avalability_Copy of Zone- Formate for meeting 30.9.08" xfId="2139"/>
    <cellStyle name="_Routine_testing_work_done_% avalability_MD Visit - 10.9.08" xfId="2140"/>
    <cellStyle name="_Routine_testing_work_done_% avalability_Project Meeting-8.7.08" xfId="2141"/>
    <cellStyle name="_Routine_testing_work_done_Activity since Feb-2008" xfId="2142"/>
    <cellStyle name="_Routine_testing_work_done_Activity since Feb-2008_JGY BM Cross FDR" xfId="2143"/>
    <cellStyle name="_Routine_testing_work_done_Breaker timing test" xfId="2144"/>
    <cellStyle name="_Routine_testing_work_done_Breaker timing test_JGY BM Cross FDR" xfId="2145"/>
    <cellStyle name="_Routine_testing_work_done_CIRCLE FINAL R&amp;M SUMMARY (Brh, Meh, GDLZone)" xfId="2146"/>
    <cellStyle name="_Routine_testing_work_done_Gondal(REC)-after S'nagar" xfId="2147"/>
    <cellStyle name="_Routine_testing_work_done_Monthly progress of ss &amp; line Jun-08" xfId="2148"/>
    <cellStyle name="_Routine_testing_work_done_Monthly progress of ss &amp; line Jun-08_JGY BM Cross FDR" xfId="2149"/>
    <cellStyle name="_Routine_testing_work_done_Progress on going work" xfId="2150"/>
    <cellStyle name="_Routine_testing_work_done_Progress on going work_Activity since Feb-2008" xfId="2151"/>
    <cellStyle name="_Routine_testing_work_done_Progress on going work_Activity since Feb-2008_JGY BM Cross FDR" xfId="2152"/>
    <cellStyle name="_Routine_testing_work_done_Progress on going work_Monthly progress of ss &amp; line Jun-08" xfId="2153"/>
    <cellStyle name="_Routine_testing_work_done_Progress on going work_Monthly progress of ss &amp; line Jun-08_JGY BM Cross FDR" xfId="2154"/>
    <cellStyle name="_Routine_testing_work_done_Progress on going work_Zone- Formate for meeting 14.6.08" xfId="2155"/>
    <cellStyle name="_Routine_testing_work_done_Progress on going work_Zone- Formate for meeting 14.6.08_JGY BM Cross FDR" xfId="2156"/>
    <cellStyle name="_Routine_testing_work_done_Zone- Formate for meeting 14.6.08" xfId="2157"/>
    <cellStyle name="_Routine_testing_work_done_Zone- Formate for meeting 14.6.08_JGY BM Cross FDR" xfId="2158"/>
    <cellStyle name="_SE(TR-II) Nov - 07" xfId="2159"/>
    <cellStyle name="_SE(TR-II) Nov - 07_JGY BM Cross FDR" xfId="2160"/>
    <cellStyle name="_Sheet1" xfId="2161"/>
    <cellStyle name="_Sheet1_Accd MOSE 04.08.09" xfId="2162"/>
    <cellStyle name="_Sheet1_ag wkly" xfId="2163"/>
    <cellStyle name="_Sheet1_Aux.cons" xfId="2164"/>
    <cellStyle name="_Sheet1_Aux.cons_AMR" xfId="2165"/>
    <cellStyle name="_Sheet1_Aux.cons_cum-JUL09" xfId="2166"/>
    <cellStyle name="_Sheet1_Aux.cons_cum-JUN09" xfId="2167"/>
    <cellStyle name="_Sheet1_Aux.cons_cum-NOV09" xfId="2168"/>
    <cellStyle name="_Sheet1_Aux.cons_cum-OCT09" xfId="2169"/>
    <cellStyle name="_Sheet1_Aux.cons_cum-SEP09" xfId="2170"/>
    <cellStyle name="_Sheet1_Aux.cons_LOSS DATA NOV-09" xfId="2171"/>
    <cellStyle name="_Sheet1_Aux.cons_loss projection" xfId="2172"/>
    <cellStyle name="_Sheet1_Aux.cons_se conf tnd compr" xfId="2173"/>
    <cellStyle name="_Sheet1_Aux.cons_T&amp;D April--09" xfId="2174"/>
    <cellStyle name="_Sheet1_categorywise comp" xfId="2175"/>
    <cellStyle name="_Sheet1_cum-JUL09" xfId="2176"/>
    <cellStyle name="_Sheet1_cum-JUN09" xfId="2177"/>
    <cellStyle name="_Sheet1_cum-NOV09" xfId="2178"/>
    <cellStyle name="_Sheet1_cum-OCT09" xfId="2179"/>
    <cellStyle name="_Sheet1_cum-SEP09" xfId="2180"/>
    <cellStyle name="_Sheet1_Format mat req 08-09" xfId="2181"/>
    <cellStyle name="_Sheet1_JGY BM Cross FDR" xfId="2182"/>
    <cellStyle name="_Sheet1_JGY loss comp ph-1-2-3 jul-09" xfId="2183"/>
    <cellStyle name="_Sheet1_loss comparision jul-09" xfId="2184"/>
    <cellStyle name="_Sheet1_LOSS DATA NOV-09" xfId="2185"/>
    <cellStyle name="_Sheet1_loss projection" xfId="2186"/>
    <cellStyle name="_Sheet1_meeting   16.09.09" xfId="2187"/>
    <cellStyle name="_Sheet1_mose part 1   (point 1-10)" xfId="2188"/>
    <cellStyle name="_Sheet1_mose point-3 JGY" xfId="2189"/>
    <cellStyle name="_Sheet1_mose point-3 JGY jun-09" xfId="2190"/>
    <cellStyle name="_Sheet1_PGVCL" xfId="2191"/>
    <cellStyle name="_Sheet1_PGVCL_AMR" xfId="2192"/>
    <cellStyle name="_Sheet1_PGVCL_cum-JUL09" xfId="2193"/>
    <cellStyle name="_Sheet1_PGVCL_cum-JUN09" xfId="2194"/>
    <cellStyle name="_Sheet1_PGVCL_cum-NOV09" xfId="2195"/>
    <cellStyle name="_Sheet1_PGVCL_cum-OCT09" xfId="2196"/>
    <cellStyle name="_Sheet1_PGVCL_cum-SEP09" xfId="2197"/>
    <cellStyle name="_Sheet1_PGVCL_LOSS DATA NOV-09" xfId="2198"/>
    <cellStyle name="_Sheet1_PGVCL_loss projection" xfId="2199"/>
    <cellStyle name="_Sheet1_PGVCL_se conf tnd compr" xfId="2200"/>
    <cellStyle name="_Sheet1_PGVCL_T&amp;D April--09" xfId="2201"/>
    <cellStyle name="_Sheet1_Point 8. Material Requirement" xfId="2202"/>
    <cellStyle name="_Sheet1_point 9. Price Variation" xfId="2203"/>
    <cellStyle name="_Sheet1_SE Conf 30-07  part-1 main" xfId="2204"/>
    <cellStyle name="_Sheet1_se conf tnd compr" xfId="2205"/>
    <cellStyle name="_Sheet1_seconf 27.08.09" xfId="2206"/>
    <cellStyle name="_Sheet1_Soft Copy of Tech-2" xfId="2207"/>
    <cellStyle name="_Sheet2" xfId="2208"/>
    <cellStyle name="_Sheet2_cum-JUL09" xfId="2209"/>
    <cellStyle name="_Sheet2_cum-JUN09" xfId="2210"/>
    <cellStyle name="_Sheet2_cum-NOV09" xfId="2211"/>
    <cellStyle name="_Sheet2_cum-OCT09" xfId="2212"/>
    <cellStyle name="_Sheet2_cum-SEP09" xfId="2213"/>
    <cellStyle name="_Sheet2_Format mat req 08-09" xfId="2214"/>
    <cellStyle name="_Sheet2_LOSS DATA NOV-09" xfId="2215"/>
    <cellStyle name="_Sheet2_loss projection" xfId="2216"/>
    <cellStyle name="_Sheet2_se conf tnd compr" xfId="2217"/>
    <cellStyle name="_sop t&amp;d" xfId="2218"/>
    <cellStyle name="_spare bushing 30.9.07" xfId="2219"/>
    <cellStyle name="_spare bushing 30.9.07_JGY BM Cross FDR" xfId="2220"/>
    <cellStyle name="_ss consumption CO" xfId="2221"/>
    <cellStyle name="_ss consumption CO_JGY BM Cross FDR" xfId="2222"/>
    <cellStyle name="_S-S conumption under Mehana Zone" xfId="2223"/>
    <cellStyle name="_S-S conumption under Mehana Zone_JGY BM Cross FDR" xfId="2224"/>
    <cellStyle name="_SS WISE 11KB BREAKER" xfId="2225"/>
    <cellStyle name="_SS WISE 11KB BREAKER_JGY BM Cross FDR" xfId="2226"/>
    <cellStyle name="_ss%20consumption%20COplm" xfId="2227"/>
    <cellStyle name="_ss%20consumption%20COplm_JGY BM Cross FDR" xfId="2228"/>
    <cellStyle name="_ss%20consumption%20COplm_S-S conumption under Mehana Zone modified" xfId="2229"/>
    <cellStyle name="_Sub-station auxilary consumption detail of Gondal circle" xfId="2230"/>
    <cellStyle name="_Sub-station auxilary consumption detail of Gondal circle_JGY BM Cross FDR" xfId="2231"/>
    <cellStyle name="_T&amp;D Losses-ss &amp; EHT March. 06 prepared in April. 06" xfId="2232"/>
    <cellStyle name="_T&amp;D Losses-ss &amp; EHT March. 06 prepared in April. 06_JGY BM Cross FDR" xfId="2233"/>
    <cellStyle name="_T_D_of_SS_Exp_Fdr_for_APRIL-06" xfId="2234"/>
    <cellStyle name="_T_D_of_SS_Exp_Fdr_for_APRIL-06_JGY BM Cross FDR" xfId="2235"/>
    <cellStyle name="_T_D_of_SS_Exp_Fdr_for_MARCH-06" xfId="2236"/>
    <cellStyle name="_T_D_of_SS_Exp_Fdr_for_MARCH-06_JGY BM Cross FDR" xfId="2237"/>
    <cellStyle name="_T_D_of_SS_Exp_Fdr_for_MAY-06" xfId="2238"/>
    <cellStyle name="_T_D_of_SS_Exp_Fdr_for_MAY-06_JGY BM Cross FDR" xfId="2239"/>
    <cellStyle name="_TR PATAN" xfId="2240"/>
    <cellStyle name="_TR PATAN_JGY BM Cross FDR" xfId="2241"/>
    <cellStyle name="_TSA AS PER CEA Jan.-08 JTP" xfId="2242"/>
    <cellStyle name="_TSA AS PER CEA Jan.-08 JTP_JGY BM Cross FDR" xfId="2243"/>
    <cellStyle name="_TT  PF  0.9 PF CO MARCH 08" xfId="2244"/>
    <cellStyle name="_TT  PF  0.9 PF CO MARCH 08_JGY BM Cross FDR" xfId="2245"/>
    <cellStyle name="_TT PF PLN TR CO ORDINATION" xfId="2246"/>
    <cellStyle name="_TT PF PLN TR CO ORDINATION_JGY BM Cross FDR" xfId="2247"/>
    <cellStyle name="_UGVCL" xfId="2248"/>
    <cellStyle name="_UGVCL_cum-JUL09" xfId="2249"/>
    <cellStyle name="_UGVCL_cum-JUN09" xfId="2250"/>
    <cellStyle name="_UGVCL_cum-NOV09" xfId="2251"/>
    <cellStyle name="_UGVCL_cum-OCT09" xfId="2252"/>
    <cellStyle name="_UGVCL_cum-SEP09" xfId="2253"/>
    <cellStyle name="_UGVCL_Format mat req 08-09" xfId="2254"/>
    <cellStyle name="_UGVCL_LOSS DATA NOV-09" xfId="2255"/>
    <cellStyle name="_UGVCL_loss projection" xfId="2256"/>
    <cellStyle name="_UGVCL_se conf tnd compr" xfId="2257"/>
    <cellStyle name="_Uncomissioned  X'mer and Equipment" xfId="2258"/>
    <cellStyle name="_Uncomissioned  X'mer and Equipment_JGY BM Cross FDR" xfId="2259"/>
    <cellStyle name="_Updated format of EBC 29.10.04" xfId="2260"/>
    <cellStyle name="_Updated format of EBC 29.10.04_cum-JUL09" xfId="2261"/>
    <cellStyle name="_Updated format of EBC 29.10.04_cum-JUN09" xfId="2262"/>
    <cellStyle name="_Updated format of EBC 29.10.04_cum-NOV09" xfId="2263"/>
    <cellStyle name="_Updated format of EBC 29.10.04_cum-OCT09" xfId="2264"/>
    <cellStyle name="_Updated format of EBC 29.10.04_cum-SEP09" xfId="2265"/>
    <cellStyle name="_Updated format of EBC 29.10.04_Format mat req 08-09" xfId="2266"/>
    <cellStyle name="_Updated format of EBC 29.10.04_LOSS DATA NOV-09" xfId="2267"/>
    <cellStyle name="_Updated format of EBC 29.10.04_loss projection" xfId="2268"/>
    <cellStyle name="_Updated format of EBC 29.10.04_se conf tnd compr" xfId="2269"/>
    <cellStyle name="_Updated format of EBC Jan.05" xfId="2270"/>
    <cellStyle name="_Updated format of EBC Jan.05_cum-JUL09" xfId="2271"/>
    <cellStyle name="_Updated format of EBC Jan.05_cum-JUN09" xfId="2272"/>
    <cellStyle name="_Updated format of EBC Jan.05_cum-NOV09" xfId="2273"/>
    <cellStyle name="_Updated format of EBC Jan.05_cum-OCT09" xfId="2274"/>
    <cellStyle name="_Updated format of EBC Jan.05_cum-SEP09" xfId="2275"/>
    <cellStyle name="_Updated format of EBC Jan.05_Format mat req 08-09" xfId="2276"/>
    <cellStyle name="_Updated format of EBC Jan.05_LOSS DATA NOV-09" xfId="2277"/>
    <cellStyle name="_Updated format of EBC Jan.05_loss projection" xfId="2278"/>
    <cellStyle name="_Updated format of EBC Jan.05_se conf tnd compr" xfId="2279"/>
    <cellStyle name="_Weekly Coastal 11.08.08" xfId="2280"/>
    <cellStyle name="_Weekly Coastal 11.08.08_JGY BM Cross FDR" xfId="2281"/>
    <cellStyle name="_Weekly Coastal PGVCL 01.06.09" xfId="2282"/>
    <cellStyle name="_Weekly Coastal PGVCL 09.06.08 (1)" xfId="2283"/>
    <cellStyle name="_Weekly Coastal PGVCL 09.06.08 (1)_JGY BM Cross FDR" xfId="2284"/>
    <cellStyle name="_Weekly Coastal PGVCL 12.01.09" xfId="2285"/>
    <cellStyle name="_Weekly Coastal PGVCL 12.01.09_JGY BM Cross FDR" xfId="2286"/>
    <cellStyle name="_Weekly Coastal PGVCL 13.10.08" xfId="2287"/>
    <cellStyle name="_Weekly Coastal PGVCL 13.10.08_JGY BM Cross FDR" xfId="2288"/>
    <cellStyle name="_Weekly Coastal PGVCL 17.08.09" xfId="2289"/>
    <cellStyle name="_Weekly Coastal PGVCL 23.03.09(LACS)" xfId="2290"/>
    <cellStyle name="_Weekly Coastal PGVCL 23.03.09(LACS)_JGY BM Cross FDR" xfId="2291"/>
    <cellStyle name="_work progress sheet" xfId="2292"/>
    <cellStyle name="_work progress sheet_JGY BM Cross FDR" xfId="2293"/>
    <cellStyle name="•W€_G7ATD" xfId="2294"/>
    <cellStyle name="AAA" xfId="2295"/>
    <cellStyle name="AeE­ [0]_INQUIRY ¿μ¾÷AßAø " xfId="2296"/>
    <cellStyle name="AeE­_INQUIRY ¿μ¾÷AßAø " xfId="2297"/>
    <cellStyle name="AÞ¸¶ [0]_INQUIRY ¿?¾÷AßAø " xfId="2298"/>
    <cellStyle name="AÞ¸¶_INQUIRY ¿?¾÷AßAø " xfId="2299"/>
    <cellStyle name="Black" xfId="2300"/>
    <cellStyle name="Black 1" xfId="2301"/>
    <cellStyle name="Black_Accident - 2007-08 + 2008-09 -- 15.12.08" xfId="2302"/>
    <cellStyle name="Body" xfId="2303"/>
    <cellStyle name="Border" xfId="2304"/>
    <cellStyle name="Border 1" xfId="2305"/>
    <cellStyle name="Border 2" xfId="2306"/>
    <cellStyle name="Border_&gt;5" xfId="2307"/>
    <cellStyle name="C?AØ_¿?¾÷CoE² " xfId="2308"/>
    <cellStyle name="C¥AØ_¿?¾÷CoE² " xfId="2309"/>
    <cellStyle name="C￥AØ_¿μ¾÷CoE² " xfId="2310"/>
    <cellStyle name="Comma  - Style1" xfId="2311"/>
    <cellStyle name="Comma  - Style1 1" xfId="2312"/>
    <cellStyle name="Comma  - Style1 2" xfId="2313"/>
    <cellStyle name="Comma  - Style1_&gt;5" xfId="2314"/>
    <cellStyle name="Comma  - Style2" xfId="2315"/>
    <cellStyle name="Comma  - Style2 1" xfId="2316"/>
    <cellStyle name="Comma  - Style2 2" xfId="2317"/>
    <cellStyle name="Comma  - Style2_&gt;5" xfId="2318"/>
    <cellStyle name="Comma  - Style3" xfId="2319"/>
    <cellStyle name="Comma  - Style3 1" xfId="2320"/>
    <cellStyle name="Comma  - Style3 2" xfId="2321"/>
    <cellStyle name="Comma  - Style3_&gt;5" xfId="2322"/>
    <cellStyle name="Comma  - Style4" xfId="2323"/>
    <cellStyle name="Comma  - Style4 1" xfId="2324"/>
    <cellStyle name="Comma  - Style4 2" xfId="2325"/>
    <cellStyle name="Comma  - Style4_&gt;5" xfId="2326"/>
    <cellStyle name="Comma  - Style5" xfId="2327"/>
    <cellStyle name="Comma  - Style5 1" xfId="2328"/>
    <cellStyle name="Comma  - Style5 2" xfId="2329"/>
    <cellStyle name="Comma  - Style5_&gt;5" xfId="2330"/>
    <cellStyle name="Comma  - Style6" xfId="2331"/>
    <cellStyle name="Comma  - Style6 1" xfId="2332"/>
    <cellStyle name="Comma  - Style6 2" xfId="2333"/>
    <cellStyle name="Comma  - Style6_&gt;5" xfId="2334"/>
    <cellStyle name="Comma  - Style7" xfId="2335"/>
    <cellStyle name="Comma  - Style7 1" xfId="2336"/>
    <cellStyle name="Comma  - Style7 2" xfId="2337"/>
    <cellStyle name="Comma  - Style7_&gt;5" xfId="2338"/>
    <cellStyle name="Comma  - Style8" xfId="2339"/>
    <cellStyle name="Comma  - Style8 1" xfId="2340"/>
    <cellStyle name="Comma  - Style8 2" xfId="2341"/>
    <cellStyle name="Comma  - Style8_&gt;5" xfId="2342"/>
    <cellStyle name="Comma 10" xfId="2343"/>
    <cellStyle name="Comma 2" xfId="2344"/>
    <cellStyle name="Comma 2 2" xfId="2345"/>
    <cellStyle name="Comma 2_ag wkly" xfId="2346"/>
    <cellStyle name="Comma 3" xfId="2347"/>
    <cellStyle name="Comma 4" xfId="2348"/>
    <cellStyle name="Comma 5" xfId="2349"/>
    <cellStyle name="Comma 6" xfId="2350"/>
    <cellStyle name="Comma 7" xfId="2351"/>
    <cellStyle name="Comma 8" xfId="2352"/>
    <cellStyle name="Comma 9" xfId="2353"/>
    <cellStyle name="Comma0" xfId="2354"/>
    <cellStyle name="Comma0 1" xfId="2355"/>
    <cellStyle name="Comma0_&gt;5" xfId="2356"/>
    <cellStyle name="Currency0" xfId="2357"/>
    <cellStyle name="Currency0 1" xfId="2358"/>
    <cellStyle name="Currency0 2" xfId="2359"/>
    <cellStyle name="Currency0_&gt;5" xfId="2360"/>
    <cellStyle name="Custom - Style8" xfId="2361"/>
    <cellStyle name="Date" xfId="2362"/>
    <cellStyle name="Date 1" xfId="2363"/>
    <cellStyle name="Date_&gt;5" xfId="2364"/>
    <cellStyle name="deep" xfId="2365"/>
    <cellStyle name="Dezimal [0]_laroux" xfId="2366"/>
    <cellStyle name="Dezimal_laroux" xfId="2367"/>
    <cellStyle name="Euro" xfId="2368"/>
    <cellStyle name="Euro 1" xfId="2369"/>
    <cellStyle name="Euro 2" xfId="2370"/>
    <cellStyle name="Euro_&gt;5" xfId="2371"/>
    <cellStyle name="Excel Built-in Normal" xfId="2372"/>
    <cellStyle name="Fixed" xfId="2373"/>
    <cellStyle name="Fixed 1" xfId="2374"/>
    <cellStyle name="Fixed_&gt;5" xfId="2375"/>
    <cellStyle name="Formula" xfId="2376"/>
    <cellStyle name="Formula 1" xfId="2377"/>
    <cellStyle name="Formula 2" xfId="2378"/>
    <cellStyle name="Formula_&gt;5" xfId="2379"/>
    <cellStyle name="Grey" xfId="2380"/>
    <cellStyle name="Grey 1" xfId="2381"/>
    <cellStyle name="Grey_&gt;5" xfId="2382"/>
    <cellStyle name="Head 1" xfId="2383"/>
    <cellStyle name="Header1" xfId="2384"/>
    <cellStyle name="Header1 1" xfId="2385"/>
    <cellStyle name="Header1_&gt;5" xfId="2386"/>
    <cellStyle name="Header2" xfId="2387"/>
    <cellStyle name="Header2 1" xfId="2388"/>
    <cellStyle name="Header2_&gt;5" xfId="2389"/>
    <cellStyle name="Heading 1 1" xfId="2390"/>
    <cellStyle name="Heading 1 10" xfId="2391"/>
    <cellStyle name="Heading 1 2" xfId="2392"/>
    <cellStyle name="Heading 1 3" xfId="2393"/>
    <cellStyle name="Heading 1 4" xfId="2394"/>
    <cellStyle name="Heading 1 5" xfId="2395"/>
    <cellStyle name="Heading 1 6" xfId="2396"/>
    <cellStyle name="Heading 1 7" xfId="2397"/>
    <cellStyle name="Heading 1 8" xfId="2398"/>
    <cellStyle name="Heading 1 9" xfId="2399"/>
    <cellStyle name="Heading 2 1" xfId="2400"/>
    <cellStyle name="Heading 2 10" xfId="2401"/>
    <cellStyle name="Heading 2 2" xfId="2402"/>
    <cellStyle name="Heading 2 3" xfId="2403"/>
    <cellStyle name="Heading 2 4" xfId="2404"/>
    <cellStyle name="Heading 2 5" xfId="2405"/>
    <cellStyle name="Heading 2 6" xfId="2406"/>
    <cellStyle name="Heading 2 7" xfId="2407"/>
    <cellStyle name="Heading 2 8" xfId="2408"/>
    <cellStyle name="Heading 2 9" xfId="2409"/>
    <cellStyle name="Hypertextový odkaz" xfId="2410"/>
    <cellStyle name="Hypertextový odkaz 1" xfId="2411"/>
    <cellStyle name="Hypertextový odkaz 2" xfId="2412"/>
    <cellStyle name="Hypertextový odkaz_01-07-09-TRANSFORMER" xfId="2413"/>
    <cellStyle name="Input [yellow]" xfId="2414"/>
    <cellStyle name="Input [yellow] 1" xfId="2415"/>
    <cellStyle name="Input [yellow]_&gt;5" xfId="2416"/>
    <cellStyle name="Milliers [0]_laroux" xfId="2417"/>
    <cellStyle name="Milliers_laroux" xfId="2418"/>
    <cellStyle name="no dec" xfId="2419"/>
    <cellStyle name="no dec 1" xfId="2420"/>
    <cellStyle name="no dec 2" xfId="2421"/>
    <cellStyle name="no dec_01-07-09-TRANSFORMER" xfId="2422"/>
    <cellStyle name="Non défini" xfId="2423"/>
    <cellStyle name="Non défini 1" xfId="2424"/>
    <cellStyle name="Non défini 2" xfId="2425"/>
    <cellStyle name="Non défini_&gt;5" xfId="2426"/>
    <cellStyle name="Normal" xfId="0" builtinId="0"/>
    <cellStyle name="Normal - Style1" xfId="2427"/>
    <cellStyle name="Normal - Style1 1" xfId="2428"/>
    <cellStyle name="Normal - Style1 2" xfId="2429"/>
    <cellStyle name="Normal - Style1_&gt;5" xfId="2430"/>
    <cellStyle name="Normal 10" xfId="2431"/>
    <cellStyle name="Normal 11" xfId="2432"/>
    <cellStyle name="Normal 12" xfId="2433"/>
    <cellStyle name="Normal 13" xfId="2434"/>
    <cellStyle name="Normal 14" xfId="2435"/>
    <cellStyle name="Normal 15" xfId="2436"/>
    <cellStyle name="Normal 2" xfId="1"/>
    <cellStyle name="Normal 2 2" xfId="2437"/>
    <cellStyle name="Normal 2 2 2" xfId="2438"/>
    <cellStyle name="Normal 2 2_Comp-Temp" xfId="2439"/>
    <cellStyle name="Normal 2 3" xfId="2440"/>
    <cellStyle name="Normal 2 4" xfId="2441"/>
    <cellStyle name="Normal 2 5" xfId="2442"/>
    <cellStyle name="Normal 2 5 2" xfId="2443"/>
    <cellStyle name="Normal 2 5 2 2" xfId="2444"/>
    <cellStyle name="Normal 2 5 2 3" xfId="2445"/>
    <cellStyle name="Normal 2 5 2_24 hrs  Village detail from GUVNL-UPDATED" xfId="2446"/>
    <cellStyle name="Normal 2 5 3" xfId="2447"/>
    <cellStyle name="Normal 2 5_24 hrs  Village detail from GUVNL-UPDATED" xfId="2448"/>
    <cellStyle name="Normal 2_01-07-09-TRANSFORMER" xfId="2449"/>
    <cellStyle name="Normal 3" xfId="4"/>
    <cellStyle name="Normal 3 2" xfId="2450"/>
    <cellStyle name="Normal 3_Scheme MOSE-13-8-09 data up to July-09" xfId="2451"/>
    <cellStyle name="Normal 4" xfId="2452"/>
    <cellStyle name="Normal 4 2" xfId="2453"/>
    <cellStyle name="Normal 4_point 6. dis" xfId="2454"/>
    <cellStyle name="Normal 5" xfId="2455"/>
    <cellStyle name="Normal 6" xfId="2456"/>
    <cellStyle name="Normal 68" xfId="2457"/>
    <cellStyle name="Normal 7" xfId="2458"/>
    <cellStyle name="Normal 8" xfId="2459"/>
    <cellStyle name="Normal 9" xfId="2460"/>
    <cellStyle name="Note 10" xfId="2461"/>
    <cellStyle name="Note 2" xfId="2462"/>
    <cellStyle name="Note 3" xfId="2463"/>
    <cellStyle name="Note 4" xfId="2464"/>
    <cellStyle name="Note 5" xfId="2465"/>
    <cellStyle name="Note 6" xfId="2466"/>
    <cellStyle name="Note 7" xfId="2467"/>
    <cellStyle name="Note 8" xfId="2468"/>
    <cellStyle name="Note 9" xfId="2469"/>
    <cellStyle name="Percent" xfId="2" builtinId="5"/>
    <cellStyle name="Percent [2]" xfId="2470"/>
    <cellStyle name="Percent [2] 1" xfId="2471"/>
    <cellStyle name="Percent [2] 2" xfId="2472"/>
    <cellStyle name="Percent [2]_&gt;5" xfId="2473"/>
    <cellStyle name="Percent 2" xfId="3"/>
    <cellStyle name="Percent 2 2" xfId="2474"/>
    <cellStyle name="Percent 2_24 hrs  Village detail from GUVNL-UPDATED" xfId="2475"/>
    <cellStyle name="Percent 3" xfId="2476"/>
    <cellStyle name="Popis" xfId="2477"/>
    <cellStyle name="Popis 1" xfId="2478"/>
    <cellStyle name="Popis_&gt;5" xfId="2479"/>
    <cellStyle name="Red" xfId="2480"/>
    <cellStyle name="Red 1" xfId="2481"/>
    <cellStyle name="Red_Accident - 2007-08 + 2008-09 -- 15.12.08" xfId="2482"/>
    <cellStyle name="RRG" xfId="2483"/>
    <cellStyle name="Sledovaný hypertextový odkaz" xfId="2484"/>
    <cellStyle name="Sledovaný hypertextový odkaz 1" xfId="2485"/>
    <cellStyle name="Sledovaný hypertextový odkaz 2" xfId="2486"/>
    <cellStyle name="Sledovaný hypertextový odkaz_&gt;5" xfId="2487"/>
    <cellStyle name="Style 1" xfId="2488"/>
    <cellStyle name="Style 1 2" xfId="2489"/>
    <cellStyle name="Style 1 3" xfId="2490"/>
    <cellStyle name="Style 1_03.03.09 Accd, Coastal" xfId="2491"/>
    <cellStyle name="Total 1" xfId="2492"/>
    <cellStyle name="Total 10" xfId="2493"/>
    <cellStyle name="Total 2" xfId="2494"/>
    <cellStyle name="Total 3" xfId="2495"/>
    <cellStyle name="Total 4" xfId="2496"/>
    <cellStyle name="Total 5" xfId="2497"/>
    <cellStyle name="Total 6" xfId="2498"/>
    <cellStyle name="Total 7" xfId="2499"/>
    <cellStyle name="Total 8" xfId="2500"/>
    <cellStyle name="Total 9" xfId="2501"/>
    <cellStyle name="Währung [0]_RESULTS" xfId="2502"/>
    <cellStyle name="Währung_RESULTS" xfId="2503"/>
    <cellStyle name="똿뗦먛귟 [0.00]_PRODUCT DETAIL Q1" xfId="2504"/>
    <cellStyle name="똿뗦먛귟_PRODUCT DETAIL Q1" xfId="2505"/>
    <cellStyle name="믅됞 [0.00]_PRODUCT DETAIL Q1" xfId="2506"/>
    <cellStyle name="믅됞_PRODUCT DETAIL Q1" xfId="2507"/>
    <cellStyle name="백분율_HOBONG" xfId="2508"/>
    <cellStyle name="뷭?_BOOKSHIP" xfId="2509"/>
    <cellStyle name="콤마 [0]_1202" xfId="2510"/>
    <cellStyle name="콤마_1202" xfId="2511"/>
    <cellStyle name="통화 [0]_1202" xfId="2512"/>
    <cellStyle name="통화_1202" xfId="2513"/>
    <cellStyle name="표준_(정보부문)월별인원계획" xfId="25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001"/>
      <sheetName val="mpmla wise pp02_03"/>
      <sheetName val="shp_T&amp;D_drive"/>
      <sheetName val="TLPPOCT"/>
      <sheetName val="R2-S1-mthws-prog"/>
      <sheetName val="LMAIN"/>
      <sheetName val="shp_T_D_dri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Master_Data"/>
      <sheetName val="T_D COMP"/>
      <sheetName val="#REF"/>
      <sheetName val="REF"/>
      <sheetName val="11KV_Xmer_Fail"/>
      <sheetName val="ann7"/>
      <sheetName val="ann10"/>
      <sheetName val="ann11 A"/>
      <sheetName val="ann9"/>
      <sheetName val="ann8"/>
      <sheetName val="ann11 B"/>
      <sheetName val="1.GUVNL TT-SF"/>
      <sheetName val="SUMMARY PBIS increase"/>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SuvP_Ltg_Catwise"/>
      <sheetName val="PP_Ltg_Catwise"/>
      <sheetName val="PP_Ind_Catwise "/>
      <sheetName val="pdc Rc,Ag Shif"/>
      <sheetName val="Paid pending"/>
      <sheetName val="SUM-04-05"/>
      <sheetName val="PRO_39_C"/>
      <sheetName val="FDR MST"/>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tabColor rgb="FFFFFF00"/>
  </sheetPr>
  <dimension ref="A2:K56"/>
  <sheetViews>
    <sheetView view="pageBreakPreview" topLeftCell="A7" zoomScale="60" zoomScaleNormal="70" workbookViewId="0">
      <selection activeCell="B47" sqref="B47"/>
    </sheetView>
  </sheetViews>
  <sheetFormatPr defaultRowHeight="12.75"/>
  <cols>
    <col min="1" max="1" width="8" style="85" customWidth="1"/>
    <col min="2" max="2" width="74.140625" style="85" customWidth="1"/>
    <col min="3" max="3" width="22" style="85" customWidth="1"/>
    <col min="4" max="4" width="25" style="85" customWidth="1"/>
    <col min="5" max="5" width="27" style="85" customWidth="1"/>
    <col min="6" max="6" width="26.42578125" style="85" customWidth="1"/>
    <col min="7" max="7" width="25" style="85" customWidth="1"/>
    <col min="8" max="8" width="20.42578125" style="85" customWidth="1"/>
    <col min="9" max="9" width="22.140625" style="85" customWidth="1"/>
    <col min="10" max="16384" width="9.140625" style="85"/>
  </cols>
  <sheetData>
    <row r="2" spans="1:9" ht="33">
      <c r="I2" s="86" t="s">
        <v>68</v>
      </c>
    </row>
    <row r="5" spans="1:9" ht="37.5">
      <c r="A5" s="307" t="s">
        <v>0</v>
      </c>
      <c r="B5" s="307"/>
      <c r="C5" s="307"/>
      <c r="D5" s="307"/>
      <c r="E5" s="307"/>
      <c r="F5" s="307"/>
      <c r="G5" s="307"/>
      <c r="H5" s="307"/>
      <c r="I5" s="307"/>
    </row>
    <row r="6" spans="1:9" ht="18" customHeight="1">
      <c r="A6" s="87"/>
      <c r="B6" s="87"/>
      <c r="C6" s="87"/>
      <c r="D6" s="87"/>
      <c r="E6" s="87"/>
    </row>
    <row r="8" spans="1:9" ht="30">
      <c r="A8" s="308" t="s">
        <v>42</v>
      </c>
      <c r="B8" s="308"/>
      <c r="C8" s="308"/>
      <c r="D8" s="308"/>
      <c r="E8" s="308"/>
      <c r="F8" s="308"/>
      <c r="G8" s="308"/>
      <c r="H8" s="308"/>
      <c r="I8" s="308"/>
    </row>
    <row r="10" spans="1:9" ht="30">
      <c r="A10" s="308" t="s">
        <v>67</v>
      </c>
      <c r="B10" s="308"/>
      <c r="C10" s="308"/>
      <c r="D10" s="308"/>
      <c r="E10" s="308"/>
      <c r="F10" s="308"/>
      <c r="G10" s="308"/>
      <c r="H10" s="308"/>
      <c r="I10" s="308"/>
    </row>
    <row r="11" spans="1:9" ht="13.5" thickBot="1"/>
    <row r="12" spans="1:9" ht="21.6" customHeight="1">
      <c r="A12" s="88"/>
      <c r="B12" s="89"/>
      <c r="C12" s="89"/>
      <c r="D12" s="315" t="s">
        <v>16</v>
      </c>
      <c r="E12" s="315"/>
      <c r="F12" s="315" t="s">
        <v>66</v>
      </c>
      <c r="G12" s="315"/>
      <c r="H12" s="315" t="s">
        <v>17</v>
      </c>
      <c r="I12" s="316"/>
    </row>
    <row r="13" spans="1:9" ht="21.6" customHeight="1">
      <c r="A13" s="90"/>
      <c r="B13" s="49"/>
      <c r="C13" s="49"/>
      <c r="D13" s="49" t="s">
        <v>14</v>
      </c>
      <c r="E13" s="49" t="s">
        <v>15</v>
      </c>
      <c r="F13" s="49" t="s">
        <v>14</v>
      </c>
      <c r="G13" s="49" t="s">
        <v>15</v>
      </c>
      <c r="H13" s="314" t="s">
        <v>14</v>
      </c>
      <c r="I13" s="309" t="s">
        <v>15</v>
      </c>
    </row>
    <row r="14" spans="1:9" ht="26.25" customHeight="1">
      <c r="A14" s="90"/>
      <c r="B14" s="49"/>
      <c r="C14" s="49"/>
      <c r="D14" s="314" t="s">
        <v>237</v>
      </c>
      <c r="E14" s="314"/>
      <c r="F14" s="314" t="s">
        <v>236</v>
      </c>
      <c r="G14" s="314"/>
      <c r="H14" s="314"/>
      <c r="I14" s="309"/>
    </row>
    <row r="15" spans="1:9" ht="24" customHeight="1">
      <c r="A15" s="90"/>
      <c r="B15" s="49"/>
      <c r="C15" s="49"/>
      <c r="D15" s="312"/>
      <c r="E15" s="313"/>
      <c r="F15" s="310"/>
      <c r="G15" s="311"/>
      <c r="H15" s="175"/>
      <c r="I15" s="164"/>
    </row>
    <row r="16" spans="1:9" ht="21.6" customHeight="1">
      <c r="A16" s="90" t="s">
        <v>63</v>
      </c>
      <c r="B16" s="92" t="s">
        <v>47</v>
      </c>
      <c r="C16" s="49"/>
      <c r="D16" s="162"/>
      <c r="E16" s="162"/>
      <c r="F16" s="154"/>
      <c r="G16" s="154"/>
      <c r="H16" s="175"/>
      <c r="I16" s="164"/>
    </row>
    <row r="17" spans="1:11" ht="21.6" customHeight="1">
      <c r="A17" s="90">
        <v>1</v>
      </c>
      <c r="B17" s="92" t="s">
        <v>122</v>
      </c>
      <c r="C17" s="49" t="s">
        <v>61</v>
      </c>
      <c r="D17" s="301">
        <f>+E17-5670.65</f>
        <v>2795.9070000000011</v>
      </c>
      <c r="E17" s="304">
        <v>8466.5570000000007</v>
      </c>
      <c r="F17" s="301">
        <f>+G17-6314.13</f>
        <v>2596.3990000000003</v>
      </c>
      <c r="G17" s="304">
        <v>8910.5290000000005</v>
      </c>
      <c r="H17" s="320">
        <f>(D17-F17)/F17</f>
        <v>7.6840269927696284E-2</v>
      </c>
      <c r="I17" s="323">
        <f>(E17-G17)/G17</f>
        <v>-4.9825549077950337E-2</v>
      </c>
    </row>
    <row r="18" spans="1:11" ht="21.6" customHeight="1">
      <c r="A18" s="90">
        <v>2</v>
      </c>
      <c r="B18" s="92" t="s">
        <v>110</v>
      </c>
      <c r="C18" s="49" t="s">
        <v>61</v>
      </c>
      <c r="D18" s="302"/>
      <c r="E18" s="305"/>
      <c r="F18" s="302"/>
      <c r="G18" s="305"/>
      <c r="H18" s="322"/>
      <c r="I18" s="325"/>
      <c r="J18" s="215"/>
      <c r="K18" s="216"/>
    </row>
    <row r="19" spans="1:11" ht="21.6" customHeight="1">
      <c r="A19" s="90">
        <v>3</v>
      </c>
      <c r="B19" s="92" t="s">
        <v>112</v>
      </c>
      <c r="C19" s="49" t="s">
        <v>61</v>
      </c>
      <c r="D19" s="303"/>
      <c r="E19" s="306"/>
      <c r="F19" s="303"/>
      <c r="G19" s="306"/>
      <c r="H19" s="321"/>
      <c r="I19" s="324"/>
    </row>
    <row r="20" spans="1:11" ht="21.6" customHeight="1">
      <c r="A20" s="90"/>
      <c r="B20" s="92" t="s">
        <v>113</v>
      </c>
      <c r="C20" s="49" t="s">
        <v>61</v>
      </c>
      <c r="D20" s="20"/>
      <c r="E20" s="236"/>
      <c r="F20" s="204"/>
      <c r="G20" s="204"/>
      <c r="H20" s="176"/>
      <c r="I20" s="177"/>
    </row>
    <row r="21" spans="1:11" ht="21.6" customHeight="1">
      <c r="A21" s="90"/>
      <c r="B21" s="92" t="s">
        <v>114</v>
      </c>
      <c r="C21" s="49" t="s">
        <v>61</v>
      </c>
      <c r="D21" s="20"/>
      <c r="E21" s="236"/>
      <c r="F21" s="204"/>
      <c r="G21" s="204"/>
      <c r="H21" s="176"/>
      <c r="I21" s="177"/>
    </row>
    <row r="22" spans="1:11" ht="21.6" customHeight="1">
      <c r="A22" s="90"/>
      <c r="B22" s="92" t="s">
        <v>48</v>
      </c>
      <c r="C22" s="49" t="s">
        <v>61</v>
      </c>
      <c r="D22" s="172">
        <f>+D17+D20+D21</f>
        <v>2795.9070000000011</v>
      </c>
      <c r="E22" s="234">
        <f>+E17+E20+E21</f>
        <v>8466.5570000000007</v>
      </c>
      <c r="F22" s="204">
        <f>+F17+F20+F21</f>
        <v>2596.3990000000003</v>
      </c>
      <c r="G22" s="204">
        <f>+G17+G20+G21</f>
        <v>8910.5290000000005</v>
      </c>
      <c r="H22" s="174">
        <f>(D22-F22)/F22</f>
        <v>7.6840269927696284E-2</v>
      </c>
      <c r="I22" s="178">
        <f>(E22-G22)/G22</f>
        <v>-4.9825549077950337E-2</v>
      </c>
    </row>
    <row r="23" spans="1:11" ht="21.6" customHeight="1">
      <c r="A23" s="90"/>
      <c r="B23" s="92"/>
      <c r="C23" s="49"/>
      <c r="D23" s="20"/>
      <c r="E23" s="236"/>
      <c r="F23" s="204"/>
      <c r="G23" s="204"/>
      <c r="H23" s="176"/>
      <c r="I23" s="177"/>
    </row>
    <row r="24" spans="1:11" ht="21.6" customHeight="1">
      <c r="A24" s="90" t="s">
        <v>64</v>
      </c>
      <c r="B24" s="92" t="s">
        <v>49</v>
      </c>
      <c r="C24" s="49"/>
      <c r="D24" s="20"/>
      <c r="E24" s="236"/>
      <c r="F24" s="204"/>
      <c r="G24" s="204"/>
      <c r="H24" s="176"/>
      <c r="I24" s="177"/>
    </row>
    <row r="25" spans="1:11" ht="21.6" customHeight="1">
      <c r="A25" s="90">
        <v>1</v>
      </c>
      <c r="B25" s="92" t="s">
        <v>50</v>
      </c>
      <c r="C25" s="49" t="s">
        <v>61</v>
      </c>
      <c r="D25" s="172">
        <f>+D17</f>
        <v>2795.9070000000011</v>
      </c>
      <c r="E25" s="234">
        <f>+E22</f>
        <v>8466.5570000000007</v>
      </c>
      <c r="F25" s="204">
        <f>+F17</f>
        <v>2596.3990000000003</v>
      </c>
      <c r="G25" s="204">
        <f>+G22</f>
        <v>8910.5290000000005</v>
      </c>
      <c r="H25" s="174">
        <f t="shared" ref="H25:I37" si="0">(D25-F25)/F25</f>
        <v>7.6840269927696284E-2</v>
      </c>
      <c r="I25" s="178">
        <f t="shared" si="0"/>
        <v>-4.9825549077950337E-2</v>
      </c>
    </row>
    <row r="26" spans="1:11" ht="21.6" customHeight="1">
      <c r="A26" s="90">
        <v>2</v>
      </c>
      <c r="B26" s="92" t="s">
        <v>51</v>
      </c>
      <c r="C26" s="49" t="s">
        <v>61</v>
      </c>
      <c r="D26" s="172">
        <f>+D25</f>
        <v>2795.9070000000011</v>
      </c>
      <c r="E26" s="234">
        <f>+E25</f>
        <v>8466.5570000000007</v>
      </c>
      <c r="F26" s="204">
        <f>+F25</f>
        <v>2596.3990000000003</v>
      </c>
      <c r="G26" s="204">
        <f>+G25</f>
        <v>8910.5290000000005</v>
      </c>
      <c r="H26" s="174">
        <f t="shared" si="0"/>
        <v>7.6840269927696284E-2</v>
      </c>
      <c r="I26" s="178">
        <f t="shared" si="0"/>
        <v>-4.9825549077950337E-2</v>
      </c>
    </row>
    <row r="27" spans="1:11" ht="21.6" customHeight="1">
      <c r="A27" s="90">
        <v>3</v>
      </c>
      <c r="B27" s="92" t="s">
        <v>111</v>
      </c>
      <c r="C27" s="49" t="s">
        <v>61</v>
      </c>
      <c r="D27" s="172">
        <f>+E27-4819.85</f>
        <v>2392.4899999999998</v>
      </c>
      <c r="E27" s="234">
        <v>7212.34</v>
      </c>
      <c r="F27" s="204">
        <f>+G27-5373.8-50-40</f>
        <v>2218.2699999999995</v>
      </c>
      <c r="G27" s="246">
        <v>7682.07</v>
      </c>
      <c r="H27" s="174">
        <f t="shared" si="0"/>
        <v>7.8538681044237307E-2</v>
      </c>
      <c r="I27" s="178">
        <f t="shared" si="0"/>
        <v>-6.1146279583497623E-2</v>
      </c>
    </row>
    <row r="28" spans="1:11" ht="21.6" customHeight="1">
      <c r="A28" s="90">
        <v>4</v>
      </c>
      <c r="B28" s="92" t="s">
        <v>115</v>
      </c>
      <c r="C28" s="49" t="s">
        <v>61</v>
      </c>
      <c r="D28" s="172">
        <f>+D26-D27</f>
        <v>403.41700000000128</v>
      </c>
      <c r="E28" s="234">
        <f>+E26-E27</f>
        <v>1254.2170000000006</v>
      </c>
      <c r="F28" s="204">
        <f>+F26-F27</f>
        <v>378.12900000000081</v>
      </c>
      <c r="G28" s="204">
        <f>+G26-G27</f>
        <v>1228.4590000000007</v>
      </c>
      <c r="H28" s="174">
        <f t="shared" si="0"/>
        <v>6.6876647916452883E-2</v>
      </c>
      <c r="I28" s="174">
        <f t="shared" si="0"/>
        <v>2.0967732744845206E-2</v>
      </c>
    </row>
    <row r="29" spans="1:11" ht="21.6" customHeight="1">
      <c r="A29" s="90">
        <v>5</v>
      </c>
      <c r="B29" s="92" t="s">
        <v>52</v>
      </c>
      <c r="C29" s="49" t="s">
        <v>34</v>
      </c>
      <c r="D29" s="173">
        <f>+(D28/D26)</f>
        <v>0.14428841874926496</v>
      </c>
      <c r="E29" s="235">
        <f>+(E28/E26)</f>
        <v>0.14813778493430096</v>
      </c>
      <c r="F29" s="199">
        <f t="shared" ref="F29:G29" si="1">F28/F26*100%</f>
        <v>0.14563593654134083</v>
      </c>
      <c r="G29" s="199">
        <f t="shared" si="1"/>
        <v>0.13786600099724727</v>
      </c>
      <c r="H29" s="174">
        <f>D29-F29</f>
        <v>-1.3475177920758696E-3</v>
      </c>
      <c r="I29" s="174">
        <f>E29-G29</f>
        <v>1.0271783937053691E-2</v>
      </c>
    </row>
    <row r="30" spans="1:11" ht="21.6" customHeight="1">
      <c r="A30" s="90"/>
      <c r="B30" s="92"/>
      <c r="C30" s="49"/>
      <c r="D30" s="20"/>
      <c r="E30" s="236"/>
      <c r="F30" s="204"/>
      <c r="G30" s="204"/>
      <c r="H30" s="174"/>
      <c r="I30" s="178"/>
    </row>
    <row r="31" spans="1:11" ht="21.6" customHeight="1">
      <c r="A31" s="90" t="s">
        <v>65</v>
      </c>
      <c r="B31" s="92" t="s">
        <v>53</v>
      </c>
      <c r="C31" s="49"/>
      <c r="D31" s="20"/>
      <c r="E31" s="236"/>
      <c r="F31" s="204"/>
      <c r="G31" s="204"/>
      <c r="H31" s="174"/>
      <c r="I31" s="178"/>
    </row>
    <row r="32" spans="1:11" ht="21.6" customHeight="1">
      <c r="A32" s="90">
        <v>1</v>
      </c>
      <c r="B32" s="92" t="s">
        <v>54</v>
      </c>
      <c r="C32" s="318" t="s">
        <v>62</v>
      </c>
      <c r="D32" s="301">
        <f>+E32-3428.53</f>
        <v>1736.7199999999998</v>
      </c>
      <c r="E32" s="304">
        <f>+'SHEET-5'!E25+37.1+15.47+85.46+97.8+74.07+70.26+70.61+76.06+65.91</f>
        <v>5165.25</v>
      </c>
      <c r="F32" s="301">
        <f>+G32-3871.34</f>
        <v>1711.63</v>
      </c>
      <c r="G32" s="304">
        <f>+'SHEET-5'!G25+63.46+67.51+76.43+82.27+82.43+77.07+77.33+73.12+71.9</f>
        <v>5582.97</v>
      </c>
      <c r="H32" s="320">
        <f t="shared" si="0"/>
        <v>1.4658541857761134E-2</v>
      </c>
      <c r="I32" s="323">
        <f t="shared" si="0"/>
        <v>-7.482039129710534E-2</v>
      </c>
    </row>
    <row r="33" spans="1:9" ht="21.6" customHeight="1">
      <c r="A33" s="90">
        <v>2</v>
      </c>
      <c r="B33" s="92" t="s">
        <v>55</v>
      </c>
      <c r="C33" s="319"/>
      <c r="D33" s="303"/>
      <c r="E33" s="306"/>
      <c r="F33" s="303"/>
      <c r="G33" s="306"/>
      <c r="H33" s="321"/>
      <c r="I33" s="324"/>
    </row>
    <row r="34" spans="1:9" ht="21.6" customHeight="1">
      <c r="A34" s="90">
        <v>3</v>
      </c>
      <c r="B34" s="92" t="s">
        <v>56</v>
      </c>
      <c r="C34" s="49" t="s">
        <v>62</v>
      </c>
      <c r="D34" s="172">
        <f>+D32</f>
        <v>1736.7199999999998</v>
      </c>
      <c r="E34" s="234">
        <f>+E32</f>
        <v>5165.25</v>
      </c>
      <c r="F34" s="204">
        <f>+F32</f>
        <v>1711.63</v>
      </c>
      <c r="G34" s="244">
        <f>+G32</f>
        <v>5582.97</v>
      </c>
      <c r="H34" s="174">
        <f t="shared" si="0"/>
        <v>1.4658541857761134E-2</v>
      </c>
      <c r="I34" s="178">
        <f t="shared" si="0"/>
        <v>-7.482039129710534E-2</v>
      </c>
    </row>
    <row r="35" spans="1:9" ht="21.6" customHeight="1">
      <c r="A35" s="90">
        <v>4</v>
      </c>
      <c r="B35" s="92" t="s">
        <v>57</v>
      </c>
      <c r="C35" s="318" t="s">
        <v>62</v>
      </c>
      <c r="D35" s="304">
        <f>+E35-3274.48+0.25</f>
        <v>1745.8799999999997</v>
      </c>
      <c r="E35" s="304">
        <v>5020.1099999999997</v>
      </c>
      <c r="F35" s="304">
        <v>1725.85</v>
      </c>
      <c r="G35" s="304">
        <v>5476.98</v>
      </c>
      <c r="H35" s="320">
        <f t="shared" si="0"/>
        <v>1.1605875365761652E-2</v>
      </c>
      <c r="I35" s="323">
        <f t="shared" si="0"/>
        <v>-8.3416408312610227E-2</v>
      </c>
    </row>
    <row r="36" spans="1:9" ht="21.6" customHeight="1">
      <c r="A36" s="90">
        <v>5</v>
      </c>
      <c r="B36" s="92" t="s">
        <v>58</v>
      </c>
      <c r="C36" s="319"/>
      <c r="D36" s="306"/>
      <c r="E36" s="306"/>
      <c r="F36" s="306"/>
      <c r="G36" s="306"/>
      <c r="H36" s="321"/>
      <c r="I36" s="324"/>
    </row>
    <row r="37" spans="1:9" ht="21.6" customHeight="1">
      <c r="A37" s="90">
        <v>6</v>
      </c>
      <c r="B37" s="92" t="s">
        <v>59</v>
      </c>
      <c r="C37" s="49" t="s">
        <v>62</v>
      </c>
      <c r="D37" s="207">
        <f>+D35</f>
        <v>1745.8799999999997</v>
      </c>
      <c r="E37" s="234">
        <f>+E35</f>
        <v>5020.1099999999997</v>
      </c>
      <c r="F37" s="204">
        <f>+F35</f>
        <v>1725.85</v>
      </c>
      <c r="G37" s="204">
        <f>+G35</f>
        <v>5476.98</v>
      </c>
      <c r="H37" s="174">
        <f t="shared" si="0"/>
        <v>1.1605875365761652E-2</v>
      </c>
      <c r="I37" s="178">
        <f t="shared" si="0"/>
        <v>-8.3416408312610227E-2</v>
      </c>
    </row>
    <row r="38" spans="1:9" ht="21.6" customHeight="1">
      <c r="A38" s="90">
        <v>7</v>
      </c>
      <c r="B38" s="92" t="s">
        <v>60</v>
      </c>
      <c r="C38" s="49" t="s">
        <v>34</v>
      </c>
      <c r="D38" s="208">
        <f>+D37/D34</f>
        <v>1.0052743101939288</v>
      </c>
      <c r="E38" s="235">
        <f>+E37/E34</f>
        <v>0.97190068244518657</v>
      </c>
      <c r="F38" s="199">
        <f t="shared" ref="F38:G38" si="2">F37/F34</f>
        <v>1.008307870275702</v>
      </c>
      <c r="G38" s="199">
        <f t="shared" si="2"/>
        <v>0.98101548100742064</v>
      </c>
      <c r="H38" s="174">
        <f>D38-F38</f>
        <v>-3.0335600817732455E-3</v>
      </c>
      <c r="I38" s="174">
        <f>E38-G38</f>
        <v>-9.1147985622340721E-3</v>
      </c>
    </row>
    <row r="39" spans="1:9" ht="21.6" customHeight="1" thickBot="1">
      <c r="A39" s="94"/>
      <c r="B39" s="95"/>
      <c r="C39" s="21"/>
      <c r="D39" s="163"/>
      <c r="E39" s="163"/>
      <c r="F39" s="21"/>
      <c r="G39" s="21"/>
      <c r="H39" s="163"/>
      <c r="I39" s="165"/>
    </row>
    <row r="40" spans="1:9" ht="18">
      <c r="F40" s="96"/>
      <c r="G40" s="96"/>
      <c r="H40" s="5"/>
      <c r="I40" s="5"/>
    </row>
    <row r="42" spans="1:9">
      <c r="E42" s="209"/>
    </row>
    <row r="43" spans="1:9" ht="41.25" customHeight="1">
      <c r="A43" s="317"/>
      <c r="B43" s="317"/>
      <c r="D43" s="247"/>
      <c r="E43" s="24"/>
      <c r="F43" s="220"/>
      <c r="G43" s="239"/>
    </row>
    <row r="47" spans="1:9" ht="18">
      <c r="D47" s="191"/>
      <c r="E47" s="191"/>
      <c r="F47" s="219"/>
    </row>
    <row r="48" spans="1:9" ht="20.25">
      <c r="F48" s="220"/>
    </row>
    <row r="56" spans="4:4">
      <c r="D56" s="97"/>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sheetPr>
    <tabColor rgb="FFFFFF00"/>
  </sheetPr>
  <dimension ref="A2:L35"/>
  <sheetViews>
    <sheetView view="pageBreakPreview" topLeftCell="A7" zoomScale="60" zoomScaleNormal="50" workbookViewId="0">
      <selection activeCell="F26" sqref="F26"/>
    </sheetView>
  </sheetViews>
  <sheetFormatPr defaultRowHeight="12.75"/>
  <cols>
    <col min="1" max="1" width="8" style="85" customWidth="1"/>
    <col min="2" max="2" width="62.7109375" style="85" customWidth="1"/>
    <col min="3" max="3" width="22" style="85" customWidth="1"/>
    <col min="4" max="4" width="23" style="85" customWidth="1"/>
    <col min="5" max="5" width="24.42578125" style="85" customWidth="1"/>
    <col min="6" max="6" width="20.42578125" style="85" customWidth="1"/>
    <col min="7" max="7" width="25" style="85" customWidth="1"/>
    <col min="8" max="9" width="21.85546875" style="85" bestFit="1" customWidth="1"/>
    <col min="10" max="10" width="9.140625" style="85"/>
    <col min="11" max="11" width="15.28515625" style="85" bestFit="1" customWidth="1"/>
    <col min="12" max="12" width="21.85546875" style="85" bestFit="1" customWidth="1"/>
    <col min="13" max="16384" width="9.140625" style="85"/>
  </cols>
  <sheetData>
    <row r="2" spans="1:9" ht="33">
      <c r="I2" s="86" t="s">
        <v>80</v>
      </c>
    </row>
    <row r="5" spans="1:9" ht="34.5">
      <c r="A5" s="326" t="s">
        <v>0</v>
      </c>
      <c r="B5" s="326"/>
      <c r="C5" s="326"/>
      <c r="D5" s="326"/>
      <c r="E5" s="326"/>
      <c r="F5" s="326"/>
      <c r="G5" s="326"/>
      <c r="H5" s="326"/>
      <c r="I5" s="326"/>
    </row>
    <row r="6" spans="1:9" ht="18" customHeight="1">
      <c r="A6" s="87"/>
      <c r="B6" s="87"/>
      <c r="C6" s="87"/>
      <c r="D6" s="87"/>
      <c r="E6" s="87"/>
    </row>
    <row r="8" spans="1:9" ht="30">
      <c r="A8" s="308" t="s">
        <v>79</v>
      </c>
      <c r="B8" s="308"/>
      <c r="C8" s="308"/>
      <c r="D8" s="308"/>
      <c r="E8" s="308"/>
      <c r="F8" s="308"/>
      <c r="G8" s="308"/>
      <c r="H8" s="308"/>
      <c r="I8" s="308"/>
    </row>
    <row r="10" spans="1:9" ht="30">
      <c r="A10" s="308" t="s">
        <v>78</v>
      </c>
      <c r="B10" s="308"/>
      <c r="C10" s="308"/>
      <c r="D10" s="308"/>
      <c r="E10" s="308"/>
      <c r="F10" s="308"/>
      <c r="G10" s="308"/>
      <c r="H10" s="308"/>
      <c r="I10" s="308"/>
    </row>
    <row r="11" spans="1:9" ht="13.5" thickBot="1"/>
    <row r="12" spans="1:9" ht="24" customHeight="1">
      <c r="A12" s="88"/>
      <c r="B12" s="89"/>
      <c r="C12" s="89"/>
      <c r="D12" s="315" t="s">
        <v>16</v>
      </c>
      <c r="E12" s="315"/>
      <c r="F12" s="315" t="s">
        <v>66</v>
      </c>
      <c r="G12" s="315"/>
      <c r="H12" s="327" t="s">
        <v>17</v>
      </c>
      <c r="I12" s="316"/>
    </row>
    <row r="13" spans="1:9" ht="24" customHeight="1">
      <c r="A13" s="90"/>
      <c r="B13" s="49"/>
      <c r="C13" s="49"/>
      <c r="D13" s="49" t="s">
        <v>14</v>
      </c>
      <c r="E13" s="49" t="s">
        <v>15</v>
      </c>
      <c r="F13" s="49" t="s">
        <v>14</v>
      </c>
      <c r="G13" s="49" t="s">
        <v>15</v>
      </c>
      <c r="H13" s="314" t="s">
        <v>14</v>
      </c>
      <c r="I13" s="328" t="s">
        <v>15</v>
      </c>
    </row>
    <row r="14" spans="1:9" ht="33" customHeight="1">
      <c r="A14" s="90"/>
      <c r="B14" s="49"/>
      <c r="C14" s="49"/>
      <c r="D14" s="314" t="str">
        <f>+'SHEET-1'!D14:E14</f>
        <v>Oct- 2020  to Dec- 2020</v>
      </c>
      <c r="E14" s="314"/>
      <c r="F14" s="314" t="str">
        <f>+'SHEET-1'!F14:G14</f>
        <v>Oct- 2019  to Dec- 2019</v>
      </c>
      <c r="G14" s="314"/>
      <c r="H14" s="314"/>
      <c r="I14" s="328"/>
    </row>
    <row r="15" spans="1:9" ht="24" customHeight="1">
      <c r="A15" s="90" t="s">
        <v>63</v>
      </c>
      <c r="B15" s="49" t="s">
        <v>76</v>
      </c>
      <c r="C15" s="49"/>
      <c r="D15" s="168"/>
      <c r="E15" s="168"/>
      <c r="F15" s="168"/>
      <c r="G15" s="168"/>
      <c r="H15" s="168"/>
      <c r="I15" s="169"/>
    </row>
    <row r="16" spans="1:9" ht="24" customHeight="1">
      <c r="A16" s="90">
        <v>1</v>
      </c>
      <c r="B16" s="92" t="s">
        <v>123</v>
      </c>
      <c r="C16" s="49" t="s">
        <v>77</v>
      </c>
      <c r="D16" s="193">
        <f>ROUND(+('SHEET-3'!D15/'SHEET-1'!D22)*10,2)</f>
        <v>4.71</v>
      </c>
      <c r="E16" s="172">
        <f>ROUND(+('SHEET-3'!E15/'SHEET-1'!E22)*10,2)</f>
        <v>4.74</v>
      </c>
      <c r="F16" s="193">
        <f>ROUND(+('SHEET-3'!F15/'SHEET-1'!F22)*10,2)</f>
        <v>4.82</v>
      </c>
      <c r="G16" s="193">
        <f>ROUND(+('SHEET-3'!G15/'SHEET-1'!G22)*10,2)</f>
        <v>4.8899999999999997</v>
      </c>
      <c r="H16" s="173">
        <f>(D16-F16)/F16</f>
        <v>-2.2821576763485542E-2</v>
      </c>
      <c r="I16" s="171">
        <f>(E16-G16)/G16</f>
        <v>-3.0674846625766763E-2</v>
      </c>
    </row>
    <row r="17" spans="1:12" ht="24" customHeight="1">
      <c r="A17" s="90">
        <v>2</v>
      </c>
      <c r="B17" s="92" t="s">
        <v>69</v>
      </c>
      <c r="C17" s="49" t="s">
        <v>77</v>
      </c>
      <c r="D17" s="172"/>
      <c r="E17" s="172"/>
      <c r="F17" s="199"/>
      <c r="G17" s="172"/>
      <c r="H17" s="20"/>
      <c r="I17" s="183"/>
    </row>
    <row r="18" spans="1:12" ht="24" customHeight="1">
      <c r="A18" s="90">
        <v>3</v>
      </c>
      <c r="B18" s="92" t="s">
        <v>70</v>
      </c>
      <c r="C18" s="49" t="s">
        <v>77</v>
      </c>
      <c r="D18" s="172"/>
      <c r="E18" s="172"/>
      <c r="F18" s="172"/>
      <c r="G18" s="172"/>
      <c r="H18" s="20"/>
      <c r="I18" s="183"/>
    </row>
    <row r="19" spans="1:12" ht="24" customHeight="1">
      <c r="A19" s="90">
        <v>4</v>
      </c>
      <c r="B19" s="92" t="s">
        <v>71</v>
      </c>
      <c r="C19" s="49" t="s">
        <v>77</v>
      </c>
      <c r="D19" s="172"/>
      <c r="E19" s="172"/>
      <c r="F19" s="172"/>
      <c r="G19" s="172"/>
      <c r="H19" s="20"/>
      <c r="I19" s="183"/>
    </row>
    <row r="20" spans="1:12" ht="24" customHeight="1">
      <c r="A20" s="90">
        <v>5</v>
      </c>
      <c r="B20" s="92" t="s">
        <v>72</v>
      </c>
      <c r="C20" s="49" t="s">
        <v>77</v>
      </c>
      <c r="D20" s="172"/>
      <c r="E20" s="172"/>
      <c r="F20" s="172"/>
      <c r="G20" s="172"/>
      <c r="H20" s="20"/>
      <c r="I20" s="183"/>
    </row>
    <row r="21" spans="1:12" ht="28.5" customHeight="1">
      <c r="A21" s="90">
        <v>6</v>
      </c>
      <c r="B21" s="92" t="s">
        <v>228</v>
      </c>
      <c r="C21" s="49" t="s">
        <v>77</v>
      </c>
      <c r="D21" s="172">
        <f>ROUND(+('SHEET-3'!D23/'SHEET-1'!D27)*10,2)</f>
        <v>6.54</v>
      </c>
      <c r="E21" s="193">
        <f>ROUND(+('SHEET-3'!E23/'SHEET-1'!E27)*10,2)</f>
        <v>6.63</v>
      </c>
      <c r="F21" s="193">
        <f>ROUND(+('SHEET-3'!F23/'SHEET-1'!F27)*10,2)</f>
        <v>6.71</v>
      </c>
      <c r="G21" s="193">
        <f>ROUND(+('SHEET-3'!G23/'SHEET-1'!G27)*10,2)</f>
        <v>6.62</v>
      </c>
      <c r="H21" s="173">
        <f>(D21-F21)/F21</f>
        <v>-2.5335320417287619E-2</v>
      </c>
      <c r="I21" s="171">
        <f>(E21-G21)/G21</f>
        <v>1.5105740181268559E-3</v>
      </c>
    </row>
    <row r="22" spans="1:12" ht="24" customHeight="1">
      <c r="A22" s="90"/>
      <c r="B22" s="49"/>
      <c r="C22" s="49"/>
      <c r="D22" s="172"/>
      <c r="E22" s="172"/>
      <c r="F22" s="172"/>
      <c r="G22" s="172"/>
      <c r="H22" s="20"/>
      <c r="I22" s="183"/>
    </row>
    <row r="23" spans="1:12" ht="24" customHeight="1">
      <c r="A23" s="90" t="s">
        <v>64</v>
      </c>
      <c r="B23" s="49" t="s">
        <v>106</v>
      </c>
      <c r="C23" s="49"/>
      <c r="D23" s="172"/>
      <c r="E23" s="172"/>
      <c r="F23" s="172"/>
      <c r="G23" s="172"/>
      <c r="H23" s="167"/>
      <c r="I23" s="183"/>
    </row>
    <row r="24" spans="1:12" ht="24" customHeight="1">
      <c r="A24" s="90">
        <v>1</v>
      </c>
      <c r="B24" s="92" t="s">
        <v>4</v>
      </c>
      <c r="C24" s="49" t="s">
        <v>77</v>
      </c>
      <c r="D24" s="172">
        <f>ROUND(+'SHEET-5'!D32/100,2)</f>
        <v>8</v>
      </c>
      <c r="E24" s="193">
        <f>ROUND(+'SHEET-5'!E32/100,2)</f>
        <v>7.94</v>
      </c>
      <c r="F24" s="193">
        <f>ROUND(+'SHEET-5'!F32/100,2)</f>
        <v>7.8</v>
      </c>
      <c r="G24" s="193">
        <f>ROUND(+'SHEET-5'!G32/100,2)</f>
        <v>7.4</v>
      </c>
      <c r="H24" s="173">
        <f t="shared" ref="H24:I26" si="0">(D24-F24)/F24</f>
        <v>2.5641025641025664E-2</v>
      </c>
      <c r="I24" s="171">
        <f t="shared" si="0"/>
        <v>7.2972972972972977E-2</v>
      </c>
      <c r="K24" s="98"/>
      <c r="L24" s="98"/>
    </row>
    <row r="25" spans="1:12" ht="24" customHeight="1">
      <c r="A25" s="90">
        <v>2</v>
      </c>
      <c r="B25" s="92" t="s">
        <v>73</v>
      </c>
      <c r="C25" s="49" t="s">
        <v>77</v>
      </c>
      <c r="D25" s="172">
        <f>ROUND(+'SHEET-5'!D39/100,2)</f>
        <v>5.27</v>
      </c>
      <c r="E25" s="193">
        <f>ROUND(+'SHEET-5'!E39/100,2)</f>
        <v>5.53</v>
      </c>
      <c r="F25" s="193">
        <f>ROUND(+'SHEET-5'!F39/100,2)</f>
        <v>5.58</v>
      </c>
      <c r="G25" s="193">
        <f>ROUND(+'SHEET-5'!G39/100,2)</f>
        <v>5.76</v>
      </c>
      <c r="H25" s="173">
        <f t="shared" si="0"/>
        <v>-5.5555555555555643E-2</v>
      </c>
      <c r="I25" s="171">
        <f t="shared" si="0"/>
        <v>-3.9930555555555476E-2</v>
      </c>
      <c r="K25" s="98"/>
      <c r="L25" s="98"/>
    </row>
    <row r="26" spans="1:12" ht="24" customHeight="1">
      <c r="A26" s="99">
        <v>3</v>
      </c>
      <c r="B26" s="100" t="s">
        <v>74</v>
      </c>
      <c r="C26" s="49" t="s">
        <v>77</v>
      </c>
      <c r="D26" s="166">
        <f>ROUND(+'SHEET-5'!D40/100,2)</f>
        <v>6.37</v>
      </c>
      <c r="E26" s="192">
        <f>ROUND(+'SHEET-5'!E40/100,2)</f>
        <v>6.34</v>
      </c>
      <c r="F26" s="192">
        <f>ROUND(+'SHEET-5'!F40/100,2)</f>
        <v>6.48</v>
      </c>
      <c r="G26" s="192">
        <f>ROUND(+'SHEET-5'!G40/100,2)</f>
        <v>6.39</v>
      </c>
      <c r="H26" s="173">
        <f t="shared" si="0"/>
        <v>-1.6975308641975356E-2</v>
      </c>
      <c r="I26" s="171">
        <f t="shared" si="0"/>
        <v>-7.8247261345852619E-3</v>
      </c>
      <c r="K26" s="98"/>
      <c r="L26" s="98"/>
    </row>
    <row r="27" spans="1:12" ht="24" customHeight="1">
      <c r="A27" s="99"/>
      <c r="B27" s="100"/>
      <c r="C27" s="91"/>
      <c r="D27" s="166"/>
      <c r="E27" s="166"/>
      <c r="F27" s="166"/>
      <c r="G27" s="166"/>
      <c r="H27" s="53"/>
      <c r="I27" s="101"/>
    </row>
    <row r="28" spans="1:12" ht="24" customHeight="1" thickBot="1">
      <c r="A28" s="94"/>
      <c r="B28" s="95" t="s">
        <v>75</v>
      </c>
      <c r="C28" s="21"/>
      <c r="D28" s="102"/>
      <c r="E28" s="102"/>
      <c r="F28" s="102"/>
      <c r="G28" s="102"/>
      <c r="H28" s="103"/>
      <c r="I28" s="104"/>
    </row>
    <row r="30" spans="1:12" ht="15.75">
      <c r="F30" s="105"/>
      <c r="G30" s="105"/>
      <c r="H30" s="105"/>
    </row>
    <row r="35" spans="1:2" ht="12.75" customHeight="1">
      <c r="A35" s="317"/>
      <c r="B35" s="317"/>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sheetPr>
    <tabColor rgb="FFFFFF00"/>
  </sheetPr>
  <dimension ref="A2:M67"/>
  <sheetViews>
    <sheetView view="pageBreakPreview" topLeftCell="A13" zoomScale="60" zoomScaleNormal="60" workbookViewId="0">
      <selection activeCell="F29" sqref="F29"/>
    </sheetView>
  </sheetViews>
  <sheetFormatPr defaultRowHeight="12.75"/>
  <cols>
    <col min="1" max="1" width="8" style="85" customWidth="1"/>
    <col min="2" max="2" width="76.42578125" style="85" customWidth="1"/>
    <col min="3" max="3" width="22" style="85" customWidth="1"/>
    <col min="4" max="4" width="25" style="85" customWidth="1"/>
    <col min="5" max="5" width="23.5703125" style="85" customWidth="1"/>
    <col min="6" max="6" width="24.42578125" style="85" customWidth="1"/>
    <col min="7" max="7" width="23.5703125" style="85" customWidth="1"/>
    <col min="8" max="8" width="19.5703125" style="85" customWidth="1"/>
    <col min="9" max="9" width="21.28515625" style="85" customWidth="1"/>
    <col min="10" max="10" width="9.85546875" style="85" bestFit="1" customWidth="1"/>
    <col min="11" max="11" width="9.140625" style="85"/>
    <col min="12" max="13" width="15.85546875" style="85" bestFit="1" customWidth="1"/>
    <col min="14" max="16384" width="9.140625" style="85"/>
  </cols>
  <sheetData>
    <row r="2" spans="1:11" ht="30">
      <c r="I2" s="106" t="s">
        <v>43</v>
      </c>
    </row>
    <row r="5" spans="1:11" ht="30">
      <c r="A5" s="329" t="s">
        <v>0</v>
      </c>
      <c r="B5" s="329"/>
      <c r="C5" s="329"/>
      <c r="D5" s="329"/>
      <c r="E5" s="329"/>
      <c r="F5" s="329"/>
      <c r="G5" s="329"/>
      <c r="H5" s="329"/>
      <c r="I5" s="329"/>
    </row>
    <row r="6" spans="1:11" ht="18" customHeight="1">
      <c r="A6" s="87"/>
      <c r="B6" s="87"/>
      <c r="C6" s="87"/>
      <c r="D6" s="87"/>
      <c r="E6" s="87"/>
    </row>
    <row r="8" spans="1:11" ht="27.75">
      <c r="A8" s="330" t="s">
        <v>42</v>
      </c>
      <c r="B8" s="330"/>
      <c r="C8" s="330"/>
      <c r="D8" s="330"/>
      <c r="E8" s="330"/>
      <c r="F8" s="330"/>
      <c r="G8" s="330"/>
      <c r="H8" s="330"/>
      <c r="I8" s="330"/>
    </row>
    <row r="10" spans="1:11" ht="27.75">
      <c r="A10" s="330" t="s">
        <v>41</v>
      </c>
      <c r="B10" s="330"/>
      <c r="C10" s="330"/>
      <c r="D10" s="330"/>
      <c r="E10" s="330"/>
      <c r="F10" s="330"/>
      <c r="G10" s="330"/>
      <c r="H10" s="330"/>
      <c r="I10" s="330"/>
    </row>
    <row r="11" spans="1:11" ht="13.5" thickBot="1"/>
    <row r="12" spans="1:11" ht="21.6" customHeight="1">
      <c r="A12" s="88"/>
      <c r="B12" s="89"/>
      <c r="C12" s="89"/>
      <c r="D12" s="315" t="s">
        <v>105</v>
      </c>
      <c r="E12" s="315"/>
      <c r="F12" s="315" t="s">
        <v>66</v>
      </c>
      <c r="G12" s="315"/>
      <c r="H12" s="315" t="s">
        <v>17</v>
      </c>
      <c r="I12" s="316"/>
    </row>
    <row r="13" spans="1:11" ht="21.6" customHeight="1">
      <c r="A13" s="90"/>
      <c r="B13" s="49"/>
      <c r="C13" s="49"/>
      <c r="D13" s="49" t="s">
        <v>14</v>
      </c>
      <c r="E13" s="49" t="s">
        <v>15</v>
      </c>
      <c r="F13" s="49" t="s">
        <v>14</v>
      </c>
      <c r="G13" s="49" t="s">
        <v>15</v>
      </c>
      <c r="H13" s="314" t="s">
        <v>14</v>
      </c>
      <c r="I13" s="309" t="s">
        <v>15</v>
      </c>
    </row>
    <row r="14" spans="1:11" ht="33" customHeight="1">
      <c r="A14" s="90"/>
      <c r="B14" s="49"/>
      <c r="C14" s="49"/>
      <c r="D14" s="314" t="str">
        <f>+'SHEET-2'!D14:E14</f>
        <v>Oct- 2020  to Dec- 2020</v>
      </c>
      <c r="E14" s="314"/>
      <c r="F14" s="314" t="str">
        <f>+'SHEET-2'!F14:G14</f>
        <v>Oct- 2019  to Dec- 2019</v>
      </c>
      <c r="G14" s="314"/>
      <c r="H14" s="318"/>
      <c r="I14" s="309"/>
    </row>
    <row r="15" spans="1:11" ht="24" customHeight="1">
      <c r="A15" s="90">
        <v>1</v>
      </c>
      <c r="B15" s="92" t="s">
        <v>125</v>
      </c>
      <c r="C15" s="49" t="s">
        <v>13</v>
      </c>
      <c r="D15" s="172">
        <f>+E15-2696.96</f>
        <v>1317.4899999999998</v>
      </c>
      <c r="E15" s="172">
        <v>4014.45</v>
      </c>
      <c r="F15" s="204">
        <f>+G15-3103.38</f>
        <v>1250.2699999999995</v>
      </c>
      <c r="G15" s="204">
        <v>4353.6499999999996</v>
      </c>
      <c r="H15" s="173">
        <f t="shared" ref="H15:I21" si="0">(D15-F15)/F15</f>
        <v>5.3764386892431459E-2</v>
      </c>
      <c r="I15" s="180">
        <f t="shared" si="0"/>
        <v>-7.7911637361753897E-2</v>
      </c>
      <c r="J15" s="205"/>
      <c r="K15" s="216"/>
    </row>
    <row r="16" spans="1:11" ht="24" customHeight="1">
      <c r="A16" s="90">
        <v>2</v>
      </c>
      <c r="B16" s="92" t="s">
        <v>25</v>
      </c>
      <c r="C16" s="49" t="s">
        <v>13</v>
      </c>
      <c r="D16" s="172">
        <f>+E16-264.72</f>
        <v>132.35999999999996</v>
      </c>
      <c r="E16" s="172">
        <f>+'SHEET-7'!C23</f>
        <v>397.08</v>
      </c>
      <c r="F16" s="204">
        <f>+G16-249.28-5</f>
        <v>128.4</v>
      </c>
      <c r="G16" s="207">
        <f>+'SHEET-7'!D23</f>
        <v>382.68</v>
      </c>
      <c r="H16" s="173">
        <f t="shared" si="0"/>
        <v>3.084112149532672E-2</v>
      </c>
      <c r="I16" s="180">
        <f t="shared" si="0"/>
        <v>3.7629350893697025E-2</v>
      </c>
      <c r="J16" s="205"/>
    </row>
    <row r="17" spans="1:13" ht="24" customHeight="1">
      <c r="A17" s="90">
        <v>3</v>
      </c>
      <c r="B17" s="92" t="s">
        <v>26</v>
      </c>
      <c r="C17" s="49" t="s">
        <v>13</v>
      </c>
      <c r="D17" s="172">
        <f>+E17-32.79</f>
        <v>16.399999999999999</v>
      </c>
      <c r="E17" s="172">
        <f>+'SHEET-7'!C29</f>
        <v>49.19</v>
      </c>
      <c r="F17" s="204">
        <f>+G17-30.21</f>
        <v>17.619999999999997</v>
      </c>
      <c r="G17" s="207">
        <f>+'SHEET-7'!D29</f>
        <v>47.83</v>
      </c>
      <c r="H17" s="173">
        <f t="shared" si="0"/>
        <v>-6.9239500567536832E-2</v>
      </c>
      <c r="I17" s="180">
        <f t="shared" si="0"/>
        <v>2.8434037215136931E-2</v>
      </c>
      <c r="J17" s="205"/>
    </row>
    <row r="18" spans="1:13" ht="24" customHeight="1">
      <c r="A18" s="90">
        <v>4</v>
      </c>
      <c r="B18" s="92" t="s">
        <v>27</v>
      </c>
      <c r="C18" s="49" t="s">
        <v>13</v>
      </c>
      <c r="D18" s="172">
        <f>+E18-32.39</f>
        <v>16.189999999999998</v>
      </c>
      <c r="E18" s="172">
        <f>+'SHEET-7'!C24</f>
        <v>48.58</v>
      </c>
      <c r="F18" s="204">
        <f>+G18-21.26-9</f>
        <v>15.779999999999998</v>
      </c>
      <c r="G18" s="207">
        <f>+'SHEET-7'!D24</f>
        <v>46.04</v>
      </c>
      <c r="H18" s="173">
        <f t="shared" si="0"/>
        <v>2.5982256020278847E-2</v>
      </c>
      <c r="I18" s="180">
        <f>(E18-G18)/G18</f>
        <v>5.5169417897480436E-2</v>
      </c>
      <c r="J18" s="205"/>
      <c r="L18" s="107"/>
      <c r="M18" s="107"/>
    </row>
    <row r="19" spans="1:13" ht="24" customHeight="1">
      <c r="A19" s="90">
        <v>5</v>
      </c>
      <c r="B19" s="92" t="s">
        <v>28</v>
      </c>
      <c r="C19" s="49" t="s">
        <v>13</v>
      </c>
      <c r="D19" s="172">
        <f>+E19-140.7</f>
        <v>70.350000000000023</v>
      </c>
      <c r="E19" s="172">
        <f>+'SHEET-7'!C28</f>
        <v>211.05</v>
      </c>
      <c r="F19" s="204">
        <f>+G19-132.72-5</f>
        <v>67.360000000000014</v>
      </c>
      <c r="G19" s="207">
        <f>+'SHEET-7'!D28</f>
        <v>205.08</v>
      </c>
      <c r="H19" s="173">
        <f t="shared" si="0"/>
        <v>4.4388361045130768E-2</v>
      </c>
      <c r="I19" s="180">
        <f>(E19-G19)/G19</f>
        <v>2.9110590988882381E-2</v>
      </c>
      <c r="J19" s="205"/>
      <c r="L19" s="108"/>
      <c r="M19" s="108"/>
    </row>
    <row r="20" spans="1:13" ht="24" customHeight="1">
      <c r="A20" s="90">
        <v>6</v>
      </c>
      <c r="B20" s="92" t="s">
        <v>29</v>
      </c>
      <c r="C20" s="49" t="s">
        <v>13</v>
      </c>
      <c r="D20" s="172">
        <f>+E20-40.53</f>
        <v>20.259999999999998</v>
      </c>
      <c r="E20" s="172">
        <f>+'SHEET-7'!C25</f>
        <v>60.79</v>
      </c>
      <c r="F20" s="204">
        <f>+G20-39.38</f>
        <v>19.309999999999995</v>
      </c>
      <c r="G20" s="207">
        <f>+'SHEET-7'!D25</f>
        <v>58.69</v>
      </c>
      <c r="H20" s="181">
        <f t="shared" si="0"/>
        <v>4.9197307094769709E-2</v>
      </c>
      <c r="I20" s="182">
        <f>(E20-G20)/G20</f>
        <v>3.5781223377065963E-2</v>
      </c>
      <c r="J20" s="205"/>
      <c r="L20" s="108"/>
      <c r="M20" s="108"/>
    </row>
    <row r="21" spans="1:13" ht="24" customHeight="1">
      <c r="A21" s="90" t="s">
        <v>116</v>
      </c>
      <c r="B21" s="92" t="s">
        <v>117</v>
      </c>
      <c r="C21" s="49" t="s">
        <v>13</v>
      </c>
      <c r="D21" s="172">
        <f>+E21+26.08</f>
        <v>-13.050000000000004</v>
      </c>
      <c r="E21" s="172">
        <f>+'SHEET-7'!C32</f>
        <v>-39.130000000000003</v>
      </c>
      <c r="F21" s="204">
        <f>+G21+30</f>
        <v>-15</v>
      </c>
      <c r="G21" s="207">
        <f>+'SHEET-7'!D32</f>
        <v>-45</v>
      </c>
      <c r="H21" s="200">
        <f t="shared" si="0"/>
        <v>-0.12999999999999973</v>
      </c>
      <c r="I21" s="200">
        <f t="shared" si="0"/>
        <v>-0.13044444444444439</v>
      </c>
      <c r="J21" s="205"/>
      <c r="L21" s="108"/>
      <c r="M21" s="108"/>
    </row>
    <row r="22" spans="1:13" ht="24" customHeight="1">
      <c r="A22" s="90">
        <v>7</v>
      </c>
      <c r="B22" s="92" t="s">
        <v>124</v>
      </c>
      <c r="C22" s="49" t="s">
        <v>13</v>
      </c>
      <c r="D22" s="172">
        <f>+E22-45.03+12</f>
        <v>5.1299999999999955</v>
      </c>
      <c r="E22" s="172">
        <f>+'SHEET-7'!C26</f>
        <v>38.159999999999997</v>
      </c>
      <c r="F22" s="204">
        <f>+G22-32.11</f>
        <v>4.8999999999999986</v>
      </c>
      <c r="G22" s="207">
        <f>+'SHEET-7'!D26</f>
        <v>37.01</v>
      </c>
      <c r="H22" s="221">
        <f t="shared" ref="H22" si="1">(D22-F22)/F22</f>
        <v>4.6938775510203458E-2</v>
      </c>
      <c r="I22" s="221">
        <f t="shared" ref="I22" si="2">(E22-G22)/G22</f>
        <v>3.1072683058632766E-2</v>
      </c>
      <c r="J22" s="205"/>
      <c r="L22" s="108"/>
      <c r="M22" s="108"/>
    </row>
    <row r="23" spans="1:13" ht="24" customHeight="1">
      <c r="A23" s="90">
        <v>8</v>
      </c>
      <c r="B23" s="92" t="s">
        <v>30</v>
      </c>
      <c r="C23" s="49" t="s">
        <v>13</v>
      </c>
      <c r="D23" s="22">
        <f>+SUM(D15:D22)</f>
        <v>1565.13</v>
      </c>
      <c r="E23" s="22">
        <f>+SUM(E15:E22)</f>
        <v>4780.1699999999992</v>
      </c>
      <c r="F23" s="207">
        <f>+SUM(F15:F22)</f>
        <v>1488.6399999999994</v>
      </c>
      <c r="G23" s="207">
        <f>+SUM(G15:G22)</f>
        <v>5085.9799999999996</v>
      </c>
      <c r="H23" s="173">
        <f t="shared" ref="H23:I32" si="3">(D23-F23)/F23</f>
        <v>5.1382469905417512E-2</v>
      </c>
      <c r="I23" s="180">
        <f t="shared" si="3"/>
        <v>-6.0128038254181185E-2</v>
      </c>
      <c r="J23" s="97"/>
    </row>
    <row r="24" spans="1:13" ht="24" customHeight="1">
      <c r="A24" s="90"/>
      <c r="B24" s="232" t="s">
        <v>233</v>
      </c>
      <c r="C24" s="225"/>
      <c r="D24" s="22"/>
      <c r="E24" s="22"/>
      <c r="F24" s="226"/>
      <c r="G24" s="226"/>
      <c r="H24" s="227"/>
      <c r="I24" s="180"/>
      <c r="J24" s="97"/>
    </row>
    <row r="25" spans="1:13" ht="24" customHeight="1">
      <c r="A25" s="90">
        <v>9</v>
      </c>
      <c r="B25" s="92" t="s">
        <v>87</v>
      </c>
      <c r="C25" s="225" t="s">
        <v>13</v>
      </c>
      <c r="D25" s="204">
        <f>+E25-77.55</f>
        <v>38.769999999999996</v>
      </c>
      <c r="E25" s="204">
        <f>+'SHEET-7'!C14</f>
        <v>116.32</v>
      </c>
      <c r="F25" s="204">
        <f>+G25-72.33</f>
        <v>40.030585745092992</v>
      </c>
      <c r="G25" s="229">
        <f>+'SHEET-7'!D14</f>
        <v>112.36058574509299</v>
      </c>
      <c r="H25" s="227">
        <f t="shared" ref="H25" si="4">(D25-F25)/F25</f>
        <v>-3.1490564567807265E-2</v>
      </c>
      <c r="I25" s="180">
        <f t="shared" ref="I25" si="5">(E25-G25)/G25</f>
        <v>3.5238462212092182E-2</v>
      </c>
    </row>
    <row r="26" spans="1:13" ht="24" customHeight="1">
      <c r="A26" s="90">
        <v>10</v>
      </c>
      <c r="B26" s="92" t="s">
        <v>107</v>
      </c>
      <c r="C26" s="49" t="s">
        <v>13</v>
      </c>
      <c r="D26" s="172">
        <f>+E26-3048.37</f>
        <v>1524.1408000000001</v>
      </c>
      <c r="E26" s="172">
        <f>+'SHEET-7'!C11</f>
        <v>4572.5108</v>
      </c>
      <c r="F26" s="204">
        <f>+G26-3422.18</f>
        <v>1451.2760645861104</v>
      </c>
      <c r="G26" s="207">
        <f>+'SHEET-7'!D11</f>
        <v>4873.4560645861102</v>
      </c>
      <c r="H26" s="173">
        <f t="shared" ref="H26:I28" si="6">(D26-F26)/F26</f>
        <v>5.0207356954288421E-2</v>
      </c>
      <c r="I26" s="171">
        <f t="shared" si="6"/>
        <v>-6.1751919089408816E-2</v>
      </c>
    </row>
    <row r="27" spans="1:13" ht="24" customHeight="1">
      <c r="A27" s="90">
        <v>11</v>
      </c>
      <c r="B27" s="92" t="s">
        <v>33</v>
      </c>
      <c r="C27" s="49" t="s">
        <v>13</v>
      </c>
      <c r="D27" s="172">
        <f>+E27-31.29</f>
        <v>19.910000000000004</v>
      </c>
      <c r="E27" s="172">
        <f>+'SHEET-7'!C13</f>
        <v>51.2</v>
      </c>
      <c r="F27" s="204">
        <f>+G27-36.94</f>
        <v>18.465942500000004</v>
      </c>
      <c r="G27" s="207">
        <f>+'SHEET-7'!D13</f>
        <v>55.405942500000002</v>
      </c>
      <c r="H27" s="173">
        <f t="shared" si="6"/>
        <v>7.8201126208423927E-2</v>
      </c>
      <c r="I27" s="171">
        <f t="shared" si="6"/>
        <v>-7.5911397049152243E-2</v>
      </c>
    </row>
    <row r="28" spans="1:13" ht="24" customHeight="1">
      <c r="A28" s="90">
        <v>12</v>
      </c>
      <c r="B28" s="92" t="s">
        <v>224</v>
      </c>
      <c r="C28" s="49" t="s">
        <v>13</v>
      </c>
      <c r="D28" s="172">
        <f>+E28-56.71</f>
        <v>53.62</v>
      </c>
      <c r="E28" s="172">
        <f>+'SHEET-7'!C12</f>
        <v>110.33</v>
      </c>
      <c r="F28" s="204">
        <f>+G28-56.3-3</f>
        <v>57.155924295000005</v>
      </c>
      <c r="G28" s="207">
        <f>+'SHEET-7'!D12</f>
        <v>116.455924295</v>
      </c>
      <c r="H28" s="173">
        <f t="shared" si="6"/>
        <v>-6.1864528281442392E-2</v>
      </c>
      <c r="I28" s="171">
        <f t="shared" si="6"/>
        <v>-5.2602942547449419E-2</v>
      </c>
    </row>
    <row r="29" spans="1:13" ht="24" customHeight="1">
      <c r="A29" s="90">
        <v>13</v>
      </c>
      <c r="B29" s="92" t="s">
        <v>234</v>
      </c>
      <c r="C29" s="225" t="s">
        <v>13</v>
      </c>
      <c r="D29" s="204">
        <f>+SUM(D25:D28)</f>
        <v>1636.4408000000001</v>
      </c>
      <c r="E29" s="204">
        <f t="shared" ref="E29:G29" si="7">+SUM(E25:E28)</f>
        <v>4850.3607999999995</v>
      </c>
      <c r="F29" s="204">
        <f>+SUM(F25:F28)</f>
        <v>1566.9285171262034</v>
      </c>
      <c r="G29" s="204">
        <f t="shared" si="7"/>
        <v>5157.6785171262027</v>
      </c>
      <c r="H29" s="227">
        <f t="shared" ref="H29" si="8">(D29-F29)/F29</f>
        <v>4.4362127636354755E-2</v>
      </c>
      <c r="I29" s="228">
        <f t="shared" ref="I29" si="9">(E29-G29)/G29</f>
        <v>-5.9584504172903938E-2</v>
      </c>
    </row>
    <row r="30" spans="1:13" ht="24" customHeight="1">
      <c r="A30" s="90">
        <v>14</v>
      </c>
      <c r="B30" s="92" t="s">
        <v>118</v>
      </c>
      <c r="C30" s="49" t="s">
        <v>34</v>
      </c>
      <c r="D30" s="173">
        <f>D15/D23</f>
        <v>0.84177672142250148</v>
      </c>
      <c r="E30" s="173">
        <f>E15/E23</f>
        <v>0.83981322839982686</v>
      </c>
      <c r="F30" s="245">
        <f>F15/F23</f>
        <v>0.8398739789337919</v>
      </c>
      <c r="G30" s="203">
        <f>G15/G23</f>
        <v>0.85601005116024842</v>
      </c>
      <c r="H30" s="173">
        <f>D30-F30</f>
        <v>1.9027424887095856E-3</v>
      </c>
      <c r="I30" s="173">
        <f>E30-G30</f>
        <v>-1.6196822760421559E-2</v>
      </c>
    </row>
    <row r="31" spans="1:13" ht="24" customHeight="1">
      <c r="A31" s="90"/>
      <c r="B31" s="92"/>
      <c r="C31" s="225"/>
      <c r="D31" s="227"/>
      <c r="E31" s="227"/>
      <c r="F31" s="227"/>
      <c r="G31" s="227"/>
      <c r="H31" s="227"/>
      <c r="I31" s="231"/>
    </row>
    <row r="32" spans="1:13" ht="24" customHeight="1">
      <c r="A32" s="90">
        <v>15</v>
      </c>
      <c r="B32" s="92" t="s">
        <v>31</v>
      </c>
      <c r="C32" s="49" t="s">
        <v>13</v>
      </c>
      <c r="D32" s="172">
        <f>+E32-63.92</f>
        <v>89.64</v>
      </c>
      <c r="E32" s="172">
        <v>153.56</v>
      </c>
      <c r="F32" s="204">
        <f>+G32-77.75</f>
        <v>82.110000000000014</v>
      </c>
      <c r="G32" s="204">
        <v>159.86000000000001</v>
      </c>
      <c r="H32" s="173">
        <f t="shared" si="3"/>
        <v>9.1706247716477715E-2</v>
      </c>
      <c r="I32" s="180">
        <f t="shared" si="3"/>
        <v>-3.9409483297885718E-2</v>
      </c>
    </row>
    <row r="33" spans="1:9" ht="24" customHeight="1">
      <c r="A33" s="90">
        <v>16</v>
      </c>
      <c r="B33" s="92" t="s">
        <v>32</v>
      </c>
      <c r="C33" s="49" t="s">
        <v>13</v>
      </c>
      <c r="D33" s="172">
        <v>0</v>
      </c>
      <c r="E33" s="172">
        <f>+D33</f>
        <v>0</v>
      </c>
      <c r="F33" s="204">
        <v>0</v>
      </c>
      <c r="G33" s="204">
        <f>+F33</f>
        <v>0</v>
      </c>
      <c r="H33" s="221">
        <v>0</v>
      </c>
      <c r="I33" s="180">
        <v>0</v>
      </c>
    </row>
    <row r="34" spans="1:9" ht="24" customHeight="1">
      <c r="A34" s="90">
        <v>17</v>
      </c>
      <c r="B34" s="92" t="s">
        <v>229</v>
      </c>
      <c r="C34" s="49" t="s">
        <v>13</v>
      </c>
      <c r="D34" s="170">
        <v>0</v>
      </c>
      <c r="E34" s="170">
        <f>+D34</f>
        <v>0</v>
      </c>
      <c r="F34" s="244">
        <v>0</v>
      </c>
      <c r="G34" s="244">
        <f>+F34</f>
        <v>0</v>
      </c>
      <c r="H34" s="221">
        <v>0</v>
      </c>
      <c r="I34" s="180">
        <v>0</v>
      </c>
    </row>
    <row r="42" spans="1:9" ht="12.75" customHeight="1">
      <c r="A42" s="317"/>
      <c r="B42" s="317"/>
    </row>
    <row r="57" spans="4:8" ht="23.25">
      <c r="D57" s="109">
        <f>3+0.58+0.94</f>
        <v>4.5199999999999996</v>
      </c>
      <c r="E57" s="109">
        <v>30066980.798</v>
      </c>
      <c r="F57" s="85">
        <v>5786401.75</v>
      </c>
      <c r="G57" s="110">
        <v>9381444.3800000008</v>
      </c>
      <c r="H57" s="85">
        <v>87524122.379999995</v>
      </c>
    </row>
    <row r="58" spans="4:8" ht="23.25">
      <c r="D58" s="111"/>
      <c r="E58" s="111">
        <f>E57/10^7</f>
        <v>3.0066980798</v>
      </c>
      <c r="F58" s="111">
        <f t="shared" ref="F58:H58" si="10">F57/10^7</f>
        <v>0.57864017499999998</v>
      </c>
      <c r="G58" s="111">
        <f t="shared" si="10"/>
        <v>0.93814443800000014</v>
      </c>
      <c r="H58" s="111">
        <f t="shared" si="10"/>
        <v>8.7524122379999998</v>
      </c>
    </row>
    <row r="59" spans="4:8" ht="23.25">
      <c r="D59" s="111"/>
      <c r="E59" s="111"/>
    </row>
    <row r="60" spans="4:8" ht="23.25">
      <c r="D60" s="111"/>
      <c r="E60" s="111"/>
    </row>
    <row r="61" spans="4:8" ht="23.25">
      <c r="D61" s="111"/>
      <c r="E61" s="111"/>
    </row>
    <row r="62" spans="4:8" ht="23.25">
      <c r="D62" s="111"/>
      <c r="E62" s="111"/>
    </row>
    <row r="63" spans="4:8" ht="23.25">
      <c r="D63" s="111"/>
      <c r="E63" s="111"/>
    </row>
    <row r="64" spans="4:8" ht="23.25">
      <c r="D64" s="111"/>
      <c r="E64" s="111"/>
    </row>
    <row r="66" spans="4:4" ht="23.25">
      <c r="D66" s="111">
        <v>0.64</v>
      </c>
    </row>
    <row r="67" spans="4:4" ht="23.25">
      <c r="D67" s="111">
        <f>SUM(D64:D66)</f>
        <v>0.64</v>
      </c>
    </row>
  </sheetData>
  <mergeCells count="11">
    <mergeCell ref="F14:G14"/>
    <mergeCell ref="A5:I5"/>
    <mergeCell ref="A8:I8"/>
    <mergeCell ref="A10:I10"/>
    <mergeCell ref="A42:B42"/>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sheetPr>
    <tabColor rgb="FFFFC000"/>
  </sheetPr>
  <dimension ref="A2:N68"/>
  <sheetViews>
    <sheetView view="pageBreakPreview" topLeftCell="A10" zoomScale="60" zoomScaleNormal="60" workbookViewId="0">
      <selection activeCell="F33" sqref="F33"/>
    </sheetView>
  </sheetViews>
  <sheetFormatPr defaultRowHeight="12.75"/>
  <cols>
    <col min="1" max="1" width="8" style="58" customWidth="1"/>
    <col min="2" max="2" width="77.5703125" style="58" customWidth="1"/>
    <col min="3" max="3" width="17" style="58" customWidth="1"/>
    <col min="4" max="4" width="24.42578125" style="58" customWidth="1"/>
    <col min="5" max="5" width="25.5703125" style="58" customWidth="1"/>
    <col min="6" max="6" width="23.85546875" style="58" customWidth="1"/>
    <col min="7" max="7" width="25.85546875" style="58" customWidth="1"/>
    <col min="8" max="8" width="19.42578125" style="58" customWidth="1"/>
    <col min="9" max="9" width="20.42578125" style="58" customWidth="1"/>
    <col min="10" max="12" width="9.140625" style="58"/>
    <col min="13" max="13" width="15.85546875" style="58" bestFit="1" customWidth="1"/>
    <col min="14" max="14" width="24.7109375" style="58" bestFit="1" customWidth="1"/>
    <col min="15" max="16384" width="9.140625" style="58"/>
  </cols>
  <sheetData>
    <row r="2" spans="1:9" ht="33">
      <c r="I2" s="59" t="s">
        <v>225</v>
      </c>
    </row>
    <row r="5" spans="1:9" ht="30">
      <c r="A5" s="337" t="s">
        <v>0</v>
      </c>
      <c r="B5" s="337"/>
      <c r="C5" s="337"/>
      <c r="D5" s="337"/>
      <c r="E5" s="337"/>
      <c r="F5" s="337"/>
      <c r="G5" s="337"/>
      <c r="H5" s="337"/>
      <c r="I5" s="337"/>
    </row>
    <row r="7" spans="1:9" ht="27.75">
      <c r="A7" s="344" t="s">
        <v>20</v>
      </c>
      <c r="B7" s="344"/>
      <c r="C7" s="344"/>
      <c r="D7" s="344"/>
      <c r="E7" s="344"/>
      <c r="F7" s="344"/>
      <c r="G7" s="344"/>
      <c r="H7" s="344"/>
      <c r="I7" s="344"/>
    </row>
    <row r="9" spans="1:9" ht="27.75">
      <c r="A9" s="344" t="s">
        <v>24</v>
      </c>
      <c r="B9" s="344"/>
      <c r="C9" s="344"/>
      <c r="D9" s="344"/>
      <c r="E9" s="344"/>
      <c r="F9" s="344"/>
      <c r="G9" s="344"/>
      <c r="H9" s="344"/>
      <c r="I9" s="344"/>
    </row>
    <row r="10" spans="1:9" ht="13.5" thickBot="1"/>
    <row r="11" spans="1:9" ht="21.6" customHeight="1">
      <c r="A11" s="60"/>
      <c r="B11" s="61"/>
      <c r="C11" s="61"/>
      <c r="D11" s="331" t="s">
        <v>16</v>
      </c>
      <c r="E11" s="331"/>
      <c r="F11" s="331" t="s">
        <v>66</v>
      </c>
      <c r="G11" s="331"/>
      <c r="H11" s="331" t="s">
        <v>17</v>
      </c>
      <c r="I11" s="332"/>
    </row>
    <row r="12" spans="1:9" ht="21.6" customHeight="1">
      <c r="A12" s="62"/>
      <c r="B12" s="54"/>
      <c r="C12" s="54"/>
      <c r="D12" s="54" t="s">
        <v>14</v>
      </c>
      <c r="E12" s="54" t="s">
        <v>15</v>
      </c>
      <c r="F12" s="54" t="s">
        <v>14</v>
      </c>
      <c r="G12" s="54" t="s">
        <v>15</v>
      </c>
      <c r="H12" s="333" t="s">
        <v>14</v>
      </c>
      <c r="I12" s="334" t="s">
        <v>15</v>
      </c>
    </row>
    <row r="13" spans="1:9" ht="21.6" customHeight="1">
      <c r="A13" s="62" t="s">
        <v>38</v>
      </c>
      <c r="B13" s="54" t="s">
        <v>100</v>
      </c>
      <c r="C13" s="54"/>
      <c r="D13" s="314" t="str">
        <f>+'SHEET-3'!D14:E14</f>
        <v>Oct- 2020  to Dec- 2020</v>
      </c>
      <c r="E13" s="314"/>
      <c r="F13" s="314" t="str">
        <f>+'SHEET-3'!F14:G14</f>
        <v>Oct- 2019  to Dec- 2019</v>
      </c>
      <c r="G13" s="314"/>
      <c r="H13" s="333"/>
      <c r="I13" s="334"/>
    </row>
    <row r="14" spans="1:9" ht="21.6" customHeight="1">
      <c r="A14" s="64">
        <v>1</v>
      </c>
      <c r="B14" s="65" t="s">
        <v>4</v>
      </c>
      <c r="C14" s="66" t="s">
        <v>81</v>
      </c>
      <c r="D14" s="230">
        <v>2434</v>
      </c>
      <c r="E14" s="230">
        <f>D14</f>
        <v>2434</v>
      </c>
      <c r="F14" s="230">
        <v>2254</v>
      </c>
      <c r="G14" s="230">
        <f>F14</f>
        <v>2254</v>
      </c>
      <c r="H14" s="158">
        <f>(D14-F14)/F14</f>
        <v>7.9858030168589181E-2</v>
      </c>
      <c r="I14" s="159">
        <f>(E14-G14)/G14</f>
        <v>7.9858030168589181E-2</v>
      </c>
    </row>
    <row r="15" spans="1:9" ht="21.6" customHeight="1">
      <c r="A15" s="64">
        <v>2</v>
      </c>
      <c r="B15" s="65" t="s">
        <v>101</v>
      </c>
      <c r="C15" s="66" t="s">
        <v>81</v>
      </c>
      <c r="D15" s="230">
        <v>0</v>
      </c>
      <c r="E15" s="230">
        <v>0</v>
      </c>
      <c r="F15" s="230">
        <v>0</v>
      </c>
      <c r="G15" s="230">
        <v>0</v>
      </c>
      <c r="H15" s="195" t="e">
        <f t="shared" ref="H15:H25" si="0">(D15-F15)/F15</f>
        <v>#DIV/0!</v>
      </c>
      <c r="I15" s="196" t="e">
        <f t="shared" ref="I15:I25" si="1">(E15-G15)/G15</f>
        <v>#DIV/0!</v>
      </c>
    </row>
    <row r="16" spans="1:9" ht="21.6" customHeight="1">
      <c r="A16" s="64">
        <v>3</v>
      </c>
      <c r="B16" s="65" t="s">
        <v>7</v>
      </c>
      <c r="C16" s="66" t="s">
        <v>81</v>
      </c>
      <c r="D16" s="230">
        <v>0</v>
      </c>
      <c r="E16" s="230">
        <v>0</v>
      </c>
      <c r="F16" s="230">
        <v>0</v>
      </c>
      <c r="G16" s="230">
        <v>0</v>
      </c>
      <c r="H16" s="158">
        <v>0</v>
      </c>
      <c r="I16" s="159">
        <v>0</v>
      </c>
    </row>
    <row r="17" spans="1:14" ht="24" customHeight="1">
      <c r="A17" s="64">
        <v>4</v>
      </c>
      <c r="B17" s="65" t="s">
        <v>8</v>
      </c>
      <c r="C17" s="66" t="s">
        <v>81</v>
      </c>
      <c r="D17" s="230">
        <f>+SUM(D14:D16)</f>
        <v>2434</v>
      </c>
      <c r="E17" s="230">
        <f>+SUM(E14:E16)</f>
        <v>2434</v>
      </c>
      <c r="F17" s="230">
        <f>+SUM(F14:F16)</f>
        <v>2254</v>
      </c>
      <c r="G17" s="230">
        <f>+SUM(G14:G16)</f>
        <v>2254</v>
      </c>
      <c r="H17" s="158">
        <f t="shared" si="0"/>
        <v>7.9858030168589181E-2</v>
      </c>
      <c r="I17" s="159">
        <f t="shared" si="1"/>
        <v>7.9858030168589181E-2</v>
      </c>
    </row>
    <row r="18" spans="1:14" ht="21.6" customHeight="1">
      <c r="A18" s="64">
        <v>5</v>
      </c>
      <c r="B18" s="65" t="s">
        <v>2</v>
      </c>
      <c r="C18" s="66" t="s">
        <v>81</v>
      </c>
      <c r="D18" s="230">
        <v>2737827</v>
      </c>
      <c r="E18" s="230">
        <f>D18</f>
        <v>2737827</v>
      </c>
      <c r="F18" s="230">
        <v>2681454</v>
      </c>
      <c r="G18" s="230">
        <f>F18</f>
        <v>2681454</v>
      </c>
      <c r="H18" s="158">
        <f t="shared" si="0"/>
        <v>2.1023295570239131E-2</v>
      </c>
      <c r="I18" s="159">
        <f t="shared" si="1"/>
        <v>2.1023295570239131E-2</v>
      </c>
    </row>
    <row r="19" spans="1:14" ht="21.6" customHeight="1">
      <c r="A19" s="64">
        <v>6</v>
      </c>
      <c r="B19" s="65" t="s">
        <v>3</v>
      </c>
      <c r="C19" s="66" t="s">
        <v>81</v>
      </c>
      <c r="D19" s="335">
        <v>374589</v>
      </c>
      <c r="E19" s="335">
        <f>D19</f>
        <v>374589</v>
      </c>
      <c r="F19" s="335">
        <v>353528</v>
      </c>
      <c r="G19" s="335">
        <f>F19</f>
        <v>353528</v>
      </c>
      <c r="H19" s="345">
        <f t="shared" ref="H19" si="2">(D19-F19)/F19</f>
        <v>5.9573781991808288E-2</v>
      </c>
      <c r="I19" s="338">
        <f t="shared" ref="I19" si="3">(E19-G19)/G19</f>
        <v>5.9573781991808288E-2</v>
      </c>
      <c r="M19" s="67"/>
      <c r="N19" s="68"/>
    </row>
    <row r="20" spans="1:14" ht="21.6" customHeight="1">
      <c r="A20" s="64">
        <v>7</v>
      </c>
      <c r="B20" s="65" t="s">
        <v>1</v>
      </c>
      <c r="C20" s="66" t="s">
        <v>81</v>
      </c>
      <c r="D20" s="336"/>
      <c r="E20" s="336"/>
      <c r="F20" s="336"/>
      <c r="G20" s="336"/>
      <c r="H20" s="346"/>
      <c r="I20" s="339"/>
      <c r="M20" s="67"/>
      <c r="N20" s="68"/>
    </row>
    <row r="21" spans="1:14" ht="21.6" customHeight="1">
      <c r="A21" s="64">
        <v>8</v>
      </c>
      <c r="B21" s="65" t="s">
        <v>119</v>
      </c>
      <c r="C21" s="66" t="s">
        <v>81</v>
      </c>
      <c r="D21" s="230">
        <v>24829</v>
      </c>
      <c r="E21" s="230">
        <f>D21</f>
        <v>24829</v>
      </c>
      <c r="F21" s="230">
        <v>31898</v>
      </c>
      <c r="G21" s="230">
        <f>F21</f>
        <v>31898</v>
      </c>
      <c r="H21" s="158">
        <f t="shared" si="0"/>
        <v>-0.22161264029092734</v>
      </c>
      <c r="I21" s="159">
        <f t="shared" si="1"/>
        <v>-0.22161264029092734</v>
      </c>
      <c r="M21" s="67"/>
      <c r="N21" s="68"/>
    </row>
    <row r="22" spans="1:14" ht="24" customHeight="1">
      <c r="A22" s="64">
        <v>9</v>
      </c>
      <c r="B22" s="65" t="s">
        <v>10</v>
      </c>
      <c r="C22" s="66" t="s">
        <v>81</v>
      </c>
      <c r="D22" s="230">
        <f>+SUM(D18:D21)</f>
        <v>3137245</v>
      </c>
      <c r="E22" s="230">
        <f>+SUM(E18:E21)</f>
        <v>3137245</v>
      </c>
      <c r="F22" s="230">
        <f>+SUM(F18:F21)</f>
        <v>3066880</v>
      </c>
      <c r="G22" s="230">
        <f>+SUM(G18:G21)</f>
        <v>3066880</v>
      </c>
      <c r="H22" s="158">
        <f t="shared" si="0"/>
        <v>2.2943512625208683E-2</v>
      </c>
      <c r="I22" s="159">
        <f t="shared" si="1"/>
        <v>2.2943512625208683E-2</v>
      </c>
    </row>
    <row r="23" spans="1:14" ht="21.6" customHeight="1">
      <c r="A23" s="64">
        <v>10</v>
      </c>
      <c r="B23" s="65" t="s">
        <v>5</v>
      </c>
      <c r="C23" s="66" t="s">
        <v>81</v>
      </c>
      <c r="D23" s="230">
        <f>187138+10</f>
        <v>187148</v>
      </c>
      <c r="E23" s="230">
        <f>D23</f>
        <v>187148</v>
      </c>
      <c r="F23" s="230">
        <v>174631</v>
      </c>
      <c r="G23" s="230">
        <f>F23</f>
        <v>174631</v>
      </c>
      <c r="H23" s="158">
        <f t="shared" si="0"/>
        <v>7.1676850043806653E-2</v>
      </c>
      <c r="I23" s="159">
        <f t="shared" si="1"/>
        <v>7.1676850043806653E-2</v>
      </c>
      <c r="M23" s="67"/>
      <c r="N23" s="68"/>
    </row>
    <row r="24" spans="1:14" ht="24" customHeight="1">
      <c r="A24" s="64">
        <v>11</v>
      </c>
      <c r="B24" s="65" t="s">
        <v>11</v>
      </c>
      <c r="C24" s="66" t="s">
        <v>81</v>
      </c>
      <c r="D24" s="230">
        <f>+D22+D23</f>
        <v>3324393</v>
      </c>
      <c r="E24" s="230">
        <f>+E22+E23</f>
        <v>3324393</v>
      </c>
      <c r="F24" s="230">
        <f>+F22+F23</f>
        <v>3241511</v>
      </c>
      <c r="G24" s="230">
        <f>+G22+G23</f>
        <v>3241511</v>
      </c>
      <c r="H24" s="158">
        <f t="shared" si="0"/>
        <v>2.556893991721762E-2</v>
      </c>
      <c r="I24" s="159">
        <f t="shared" si="1"/>
        <v>2.556893991721762E-2</v>
      </c>
      <c r="M24" s="67"/>
      <c r="N24" s="68"/>
    </row>
    <row r="25" spans="1:14" ht="31.5" customHeight="1" thickBot="1">
      <c r="A25" s="69">
        <v>12</v>
      </c>
      <c r="B25" s="70" t="s">
        <v>104</v>
      </c>
      <c r="C25" s="71" t="s">
        <v>81</v>
      </c>
      <c r="D25" s="223">
        <f>+D24+D17</f>
        <v>3326827</v>
      </c>
      <c r="E25" s="223">
        <f>+E24+E17</f>
        <v>3326827</v>
      </c>
      <c r="F25" s="223">
        <f>+F24+F17</f>
        <v>3243765</v>
      </c>
      <c r="G25" s="223">
        <f>+G24+G17</f>
        <v>3243765</v>
      </c>
      <c r="H25" s="160">
        <f t="shared" si="0"/>
        <v>2.5606663861284649E-2</v>
      </c>
      <c r="I25" s="161">
        <f t="shared" si="1"/>
        <v>2.5606663861284649E-2</v>
      </c>
      <c r="M25" s="67"/>
      <c r="N25" s="68"/>
    </row>
    <row r="26" spans="1:14" ht="12" customHeight="1">
      <c r="A26" s="114"/>
      <c r="B26" s="115"/>
      <c r="C26" s="116"/>
      <c r="D26" s="117"/>
      <c r="E26" s="117"/>
      <c r="F26" s="117"/>
      <c r="G26" s="117"/>
      <c r="H26" s="156"/>
      <c r="I26" s="157"/>
    </row>
    <row r="27" spans="1:14" ht="28.5" customHeight="1">
      <c r="A27" s="118" t="s">
        <v>6</v>
      </c>
      <c r="B27" s="112" t="s">
        <v>44</v>
      </c>
      <c r="C27" s="116"/>
      <c r="D27" s="117"/>
      <c r="E27" s="117"/>
      <c r="F27" s="117"/>
      <c r="G27" s="117"/>
      <c r="H27" s="156"/>
      <c r="I27" s="157"/>
    </row>
    <row r="28" spans="1:14" ht="12" customHeight="1" thickBot="1">
      <c r="A28" s="114"/>
      <c r="B28" s="115"/>
      <c r="C28" s="116"/>
      <c r="D28" s="117"/>
      <c r="E28" s="117"/>
      <c r="F28" s="117"/>
      <c r="G28" s="117"/>
      <c r="H28" s="156"/>
      <c r="I28" s="157"/>
    </row>
    <row r="29" spans="1:14" ht="21.6" customHeight="1" thickBot="1">
      <c r="A29" s="76">
        <v>1</v>
      </c>
      <c r="B29" s="77" t="s">
        <v>4</v>
      </c>
      <c r="C29" s="119" t="s">
        <v>23</v>
      </c>
      <c r="D29" s="186">
        <f>+E29-1466.37</f>
        <v>964.31700000000001</v>
      </c>
      <c r="E29" s="56">
        <v>2430.6869999999999</v>
      </c>
      <c r="F29" s="186">
        <f>+G29-2040.91</f>
        <v>928.2349999999999</v>
      </c>
      <c r="G29" s="56">
        <v>2969.145</v>
      </c>
      <c r="H29" s="184">
        <f>(D29-F29)/F29</f>
        <v>3.8871621949183248E-2</v>
      </c>
      <c r="I29" s="185">
        <f>(E29-G29)/G29</f>
        <v>-0.18135119706178043</v>
      </c>
    </row>
    <row r="30" spans="1:14" ht="21.6" customHeight="1" thickBot="1">
      <c r="A30" s="64">
        <v>2</v>
      </c>
      <c r="B30" s="65" t="s">
        <v>101</v>
      </c>
      <c r="C30" s="66" t="s">
        <v>23</v>
      </c>
      <c r="D30" s="187">
        <v>0</v>
      </c>
      <c r="E30" s="170">
        <f>+D30</f>
        <v>0</v>
      </c>
      <c r="F30" s="233">
        <f>G30-0</f>
        <v>0</v>
      </c>
      <c r="G30" s="233">
        <v>0</v>
      </c>
      <c r="H30" s="195" t="e">
        <f t="shared" ref="H30:H40" si="4">(D30-F30)/F30</f>
        <v>#DIV/0!</v>
      </c>
      <c r="I30" s="196" t="e">
        <f t="shared" ref="I30:I40" si="5">(E30-G30)/G30</f>
        <v>#DIV/0!</v>
      </c>
    </row>
    <row r="31" spans="1:14" ht="21.6" customHeight="1">
      <c r="A31" s="64">
        <v>3</v>
      </c>
      <c r="B31" s="65" t="s">
        <v>7</v>
      </c>
      <c r="C31" s="66" t="s">
        <v>23</v>
      </c>
      <c r="D31" s="187">
        <v>0</v>
      </c>
      <c r="E31" s="170">
        <v>0</v>
      </c>
      <c r="F31" s="233">
        <v>0</v>
      </c>
      <c r="G31" s="233">
        <v>0</v>
      </c>
      <c r="H31" s="158">
        <v>0</v>
      </c>
      <c r="I31" s="159">
        <v>0</v>
      </c>
    </row>
    <row r="32" spans="1:14" ht="24" customHeight="1">
      <c r="A32" s="64">
        <v>4</v>
      </c>
      <c r="B32" s="65" t="s">
        <v>8</v>
      </c>
      <c r="C32" s="66" t="s">
        <v>23</v>
      </c>
      <c r="D32" s="187">
        <f>D29+D30</f>
        <v>964.31700000000001</v>
      </c>
      <c r="E32" s="170">
        <f>E29+E30</f>
        <v>2430.6869999999999</v>
      </c>
      <c r="F32" s="187">
        <f>F29+F30</f>
        <v>928.2349999999999</v>
      </c>
      <c r="G32" s="244">
        <f>G29+G30</f>
        <v>2969.145</v>
      </c>
      <c r="H32" s="158">
        <f t="shared" si="4"/>
        <v>3.8871621949183248E-2</v>
      </c>
      <c r="I32" s="159">
        <f t="shared" si="5"/>
        <v>-0.18135119706178043</v>
      </c>
      <c r="M32" s="67"/>
      <c r="N32" s="68"/>
    </row>
    <row r="33" spans="1:14" ht="21.6" customHeight="1">
      <c r="A33" s="64">
        <v>5</v>
      </c>
      <c r="B33" s="65" t="s">
        <v>2</v>
      </c>
      <c r="C33" s="66" t="s">
        <v>23</v>
      </c>
      <c r="D33" s="187">
        <f>+E33-1826.99</f>
        <v>565.41999999999985</v>
      </c>
      <c r="E33" s="170">
        <v>2392.41</v>
      </c>
      <c r="F33" s="187">
        <f>+G33-1675.1</f>
        <v>571.98900000000003</v>
      </c>
      <c r="G33" s="244">
        <v>2247.0889999999999</v>
      </c>
      <c r="H33" s="158">
        <f t="shared" si="4"/>
        <v>-1.1484486589777403E-2</v>
      </c>
      <c r="I33" s="159">
        <f t="shared" si="5"/>
        <v>6.4670780730091207E-2</v>
      </c>
      <c r="M33" s="67"/>
      <c r="N33" s="68"/>
    </row>
    <row r="34" spans="1:14" ht="21.6" customHeight="1">
      <c r="A34" s="64">
        <v>6</v>
      </c>
      <c r="B34" s="65" t="s">
        <v>3</v>
      </c>
      <c r="C34" s="66" t="s">
        <v>23</v>
      </c>
      <c r="D34" s="340">
        <f>+E34-761.05</f>
        <v>409.68499999999995</v>
      </c>
      <c r="E34" s="304">
        <v>1170.7349999999999</v>
      </c>
      <c r="F34" s="340">
        <f>+G34-933.233</f>
        <v>396.27600000000007</v>
      </c>
      <c r="G34" s="304">
        <v>1329.509</v>
      </c>
      <c r="H34" s="342">
        <f t="shared" si="4"/>
        <v>3.3837527379906619E-2</v>
      </c>
      <c r="I34" s="338">
        <f t="shared" si="5"/>
        <v>-0.11942303512048441</v>
      </c>
      <c r="M34" s="67"/>
      <c r="N34" s="68"/>
    </row>
    <row r="35" spans="1:14" ht="21.6" customHeight="1">
      <c r="A35" s="64">
        <v>7</v>
      </c>
      <c r="B35" s="65" t="s">
        <v>1</v>
      </c>
      <c r="C35" s="66" t="s">
        <v>23</v>
      </c>
      <c r="D35" s="341"/>
      <c r="E35" s="306"/>
      <c r="F35" s="341"/>
      <c r="G35" s="306"/>
      <c r="H35" s="343"/>
      <c r="I35" s="339"/>
    </row>
    <row r="36" spans="1:14" ht="21.6" customHeight="1">
      <c r="A36" s="64">
        <v>8</v>
      </c>
      <c r="B36" s="65" t="s">
        <v>119</v>
      </c>
      <c r="C36" s="66" t="s">
        <v>23</v>
      </c>
      <c r="D36" s="187">
        <f>+E36-170.09</f>
        <v>83.4</v>
      </c>
      <c r="E36" s="170">
        <v>253.49</v>
      </c>
      <c r="F36" s="187">
        <f>+G36-201.02</f>
        <v>90.052999999999969</v>
      </c>
      <c r="G36" s="244">
        <v>291.07299999999998</v>
      </c>
      <c r="H36" s="158">
        <f t="shared" si="4"/>
        <v>-7.3878715867322198E-2</v>
      </c>
      <c r="I36" s="159">
        <f t="shared" si="5"/>
        <v>-0.12911881211929643</v>
      </c>
    </row>
    <row r="37" spans="1:14" ht="24" customHeight="1">
      <c r="A37" s="64">
        <v>9</v>
      </c>
      <c r="B37" s="65" t="s">
        <v>10</v>
      </c>
      <c r="C37" s="66" t="s">
        <v>23</v>
      </c>
      <c r="D37" s="187">
        <f>SUM(D33:D36)</f>
        <v>1058.5049999999999</v>
      </c>
      <c r="E37" s="170">
        <f>SUM(E33:E36)</f>
        <v>3816.6349999999993</v>
      </c>
      <c r="F37" s="187">
        <f>SUM(F33:F36)</f>
        <v>1058.318</v>
      </c>
      <c r="G37" s="244">
        <f>SUM(G33:G36)</f>
        <v>3867.6709999999998</v>
      </c>
      <c r="H37" s="158">
        <f t="shared" si="4"/>
        <v>1.7669547338314018E-4</v>
      </c>
      <c r="I37" s="159">
        <f t="shared" si="5"/>
        <v>-1.3195538089977281E-2</v>
      </c>
      <c r="M37" s="67"/>
      <c r="N37" s="68"/>
    </row>
    <row r="38" spans="1:14" ht="21.6" customHeight="1">
      <c r="A38" s="64">
        <v>10</v>
      </c>
      <c r="B38" s="65" t="s">
        <v>102</v>
      </c>
      <c r="C38" s="66" t="s">
        <v>23</v>
      </c>
      <c r="D38" s="187">
        <f>+E38-595.36</f>
        <v>369.65599999999995</v>
      </c>
      <c r="E38" s="170">
        <v>965.01599999999996</v>
      </c>
      <c r="F38" s="187">
        <f>+G38-532.55</f>
        <v>312.702</v>
      </c>
      <c r="G38" s="244">
        <v>845.25199999999995</v>
      </c>
      <c r="H38" s="158">
        <f t="shared" si="4"/>
        <v>0.18213506789211439</v>
      </c>
      <c r="I38" s="159">
        <f t="shared" si="5"/>
        <v>0.141690288813277</v>
      </c>
      <c r="M38" s="67"/>
      <c r="N38" s="68"/>
    </row>
    <row r="39" spans="1:14" ht="24" customHeight="1">
      <c r="A39" s="64">
        <v>11</v>
      </c>
      <c r="B39" s="65" t="s">
        <v>11</v>
      </c>
      <c r="C39" s="66" t="s">
        <v>23</v>
      </c>
      <c r="D39" s="187">
        <f>SUM(D37:D38)</f>
        <v>1428.1609999999998</v>
      </c>
      <c r="E39" s="170">
        <f>SUM(E37:E38)</f>
        <v>4781.6509999999989</v>
      </c>
      <c r="F39" s="187">
        <f>SUM(F37:F38)</f>
        <v>1371.02</v>
      </c>
      <c r="G39" s="244">
        <f>SUM(G37:G38)</f>
        <v>4712.9229999999998</v>
      </c>
      <c r="H39" s="158">
        <f t="shared" si="4"/>
        <v>4.1677728990094857E-2</v>
      </c>
      <c r="I39" s="159">
        <f t="shared" si="5"/>
        <v>1.4582882003376495E-2</v>
      </c>
      <c r="M39" s="67"/>
      <c r="N39" s="68"/>
    </row>
    <row r="40" spans="1:14" ht="31.5" customHeight="1" thickBot="1">
      <c r="A40" s="69">
        <v>12</v>
      </c>
      <c r="B40" s="70" t="s">
        <v>12</v>
      </c>
      <c r="C40" s="71" t="s">
        <v>23</v>
      </c>
      <c r="D40" s="188">
        <f>D32+D39</f>
        <v>2392.4780000000001</v>
      </c>
      <c r="E40" s="57">
        <f>E32+E39</f>
        <v>7212.3379999999988</v>
      </c>
      <c r="F40" s="188">
        <f>F32+F39</f>
        <v>2299.2550000000001</v>
      </c>
      <c r="G40" s="57">
        <f>G32+G39</f>
        <v>7682.0679999999993</v>
      </c>
      <c r="H40" s="160">
        <f t="shared" si="4"/>
        <v>4.054487214336816E-2</v>
      </c>
      <c r="I40" s="161">
        <f t="shared" si="5"/>
        <v>-6.1146295502721472E-2</v>
      </c>
    </row>
    <row r="41" spans="1:14">
      <c r="D41" s="137"/>
      <c r="E41" s="137"/>
      <c r="H41" s="137"/>
      <c r="I41" s="137"/>
    </row>
    <row r="43" spans="1:14" ht="12.75" customHeight="1">
      <c r="A43" s="317"/>
      <c r="B43" s="317"/>
    </row>
    <row r="52" spans="4:6" ht="23.25">
      <c r="D52" s="120">
        <v>1639.71</v>
      </c>
      <c r="E52" s="120">
        <v>5096.3599999999997</v>
      </c>
    </row>
    <row r="57" spans="4:6" ht="26.25">
      <c r="D57" s="83">
        <v>335.74</v>
      </c>
      <c r="E57" s="83">
        <v>335.74</v>
      </c>
      <c r="F57" s="121">
        <f>D40-D52</f>
        <v>752.76800000000003</v>
      </c>
    </row>
    <row r="58" spans="4:6" ht="26.25">
      <c r="D58" s="83">
        <v>346.72</v>
      </c>
      <c r="E58" s="83">
        <v>346.72</v>
      </c>
      <c r="F58" s="121">
        <f>E40-E52</f>
        <v>2115.9779999999992</v>
      </c>
    </row>
    <row r="59" spans="4:6" ht="26.25">
      <c r="D59" s="83">
        <f>SUM(D57:D58)</f>
        <v>682.46</v>
      </c>
      <c r="E59" s="83">
        <f>SUM(E57:E58)</f>
        <v>682.46</v>
      </c>
    </row>
    <row r="64" spans="4:6" ht="20.100000000000001" customHeight="1">
      <c r="D64" s="122" t="s">
        <v>219</v>
      </c>
      <c r="E64" s="122" t="s">
        <v>220</v>
      </c>
    </row>
    <row r="65" spans="3:6" ht="20.100000000000001" customHeight="1">
      <c r="C65" s="123" t="s">
        <v>221</v>
      </c>
      <c r="D65" s="124">
        <v>153.19999999999999</v>
      </c>
      <c r="E65" s="124">
        <v>171.66</v>
      </c>
      <c r="F65" s="125">
        <f>(D65-E65)/E65</f>
        <v>-0.1075381568216242</v>
      </c>
    </row>
    <row r="66" spans="3:6" ht="20.100000000000001" customHeight="1">
      <c r="C66" s="123" t="s">
        <v>222</v>
      </c>
      <c r="D66" s="124">
        <v>136.37</v>
      </c>
      <c r="E66" s="124">
        <v>136.62</v>
      </c>
      <c r="F66" s="125">
        <f>(D66-E66)/E66</f>
        <v>-1.8298931342409603E-3</v>
      </c>
    </row>
    <row r="67" spans="3:6" ht="20.100000000000001" customHeight="1">
      <c r="C67" s="123"/>
      <c r="D67" s="124">
        <f>SUM(D65:D66)</f>
        <v>289.57</v>
      </c>
      <c r="E67" s="124">
        <f>SUM(E65:E66)</f>
        <v>308.27999999999997</v>
      </c>
      <c r="F67" s="125">
        <f>(D67-E67)/E67</f>
        <v>-6.0691579083949593E-2</v>
      </c>
    </row>
    <row r="68" spans="3:6" ht="20.100000000000001" customHeight="1"/>
  </sheetData>
  <mergeCells count="23">
    <mergeCell ref="A5:I5"/>
    <mergeCell ref="I19:I20"/>
    <mergeCell ref="D34:D35"/>
    <mergeCell ref="E34:E35"/>
    <mergeCell ref="H34:H35"/>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E19:E20"/>
    <mergeCell ref="D19:D20"/>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sheetPr>
    <tabColor rgb="FFFFC000"/>
  </sheetPr>
  <dimension ref="A2:R57"/>
  <sheetViews>
    <sheetView view="pageBreakPreview" topLeftCell="A4" zoomScale="60" zoomScaleNormal="50" workbookViewId="0">
      <selection activeCell="E24" sqref="E24"/>
    </sheetView>
  </sheetViews>
  <sheetFormatPr defaultRowHeight="12.75"/>
  <cols>
    <col min="1" max="1" width="8" style="58" customWidth="1"/>
    <col min="2" max="2" width="80.140625" style="58" customWidth="1"/>
    <col min="3" max="3" width="23.28515625" style="58" customWidth="1"/>
    <col min="4" max="4" width="22.42578125" style="58" customWidth="1"/>
    <col min="5" max="5" width="23.28515625" style="58" customWidth="1"/>
    <col min="6" max="6" width="23.85546875" style="58" customWidth="1"/>
    <col min="7" max="7" width="23.42578125" style="58" customWidth="1"/>
    <col min="8" max="8" width="19.28515625" style="58" bestFit="1" customWidth="1"/>
    <col min="9" max="9" width="21" style="58" customWidth="1"/>
    <col min="10" max="13" width="9.140625" style="58"/>
    <col min="14" max="14" width="27.42578125" style="58" customWidth="1"/>
    <col min="15" max="15" width="24.5703125" style="58" customWidth="1"/>
    <col min="16" max="16" width="33.7109375" style="58" bestFit="1" customWidth="1"/>
    <col min="17" max="17" width="9.140625" style="58"/>
    <col min="18" max="18" width="33.42578125" style="58" customWidth="1"/>
    <col min="19" max="16384" width="9.140625" style="58"/>
  </cols>
  <sheetData>
    <row r="2" spans="1:9" ht="33">
      <c r="I2" s="59" t="s">
        <v>22</v>
      </c>
    </row>
    <row r="5" spans="1:9" ht="30">
      <c r="A5" s="337" t="s">
        <v>0</v>
      </c>
      <c r="B5" s="337"/>
      <c r="C5" s="337"/>
      <c r="D5" s="337"/>
      <c r="E5" s="337"/>
      <c r="F5" s="337"/>
      <c r="G5" s="337"/>
      <c r="H5" s="337"/>
      <c r="I5" s="337"/>
    </row>
    <row r="7" spans="1:9" ht="27.75">
      <c r="A7" s="344" t="s">
        <v>20</v>
      </c>
      <c r="B7" s="344"/>
      <c r="C7" s="344"/>
      <c r="D7" s="344"/>
      <c r="E7" s="344"/>
      <c r="F7" s="344"/>
      <c r="G7" s="344"/>
      <c r="H7" s="344"/>
      <c r="I7" s="344"/>
    </row>
    <row r="9" spans="1:9" ht="27.75">
      <c r="A9" s="344" t="s">
        <v>19</v>
      </c>
      <c r="B9" s="344"/>
      <c r="C9" s="344"/>
      <c r="D9" s="344"/>
      <c r="E9" s="344"/>
      <c r="F9" s="344"/>
      <c r="G9" s="344"/>
      <c r="H9" s="344"/>
      <c r="I9" s="344"/>
    </row>
    <row r="10" spans="1:9" ht="13.5" thickBot="1"/>
    <row r="11" spans="1:9" ht="21.6" customHeight="1">
      <c r="A11" s="60"/>
      <c r="B11" s="61"/>
      <c r="C11" s="61"/>
      <c r="D11" s="331" t="s">
        <v>16</v>
      </c>
      <c r="E11" s="331"/>
      <c r="F11" s="331" t="s">
        <v>83</v>
      </c>
      <c r="G11" s="331"/>
      <c r="H11" s="331" t="s">
        <v>17</v>
      </c>
      <c r="I11" s="332"/>
    </row>
    <row r="12" spans="1:9" ht="21.6" customHeight="1">
      <c r="A12" s="62"/>
      <c r="B12" s="54"/>
      <c r="C12" s="54"/>
      <c r="D12" s="54" t="s">
        <v>14</v>
      </c>
      <c r="E12" s="54" t="s">
        <v>15</v>
      </c>
      <c r="F12" s="54" t="s">
        <v>14</v>
      </c>
      <c r="G12" s="54" t="s">
        <v>15</v>
      </c>
      <c r="H12" s="333" t="s">
        <v>14</v>
      </c>
      <c r="I12" s="334" t="s">
        <v>15</v>
      </c>
    </row>
    <row r="13" spans="1:9" ht="21.6" customHeight="1">
      <c r="A13" s="62" t="s">
        <v>45</v>
      </c>
      <c r="B13" s="63" t="s">
        <v>121</v>
      </c>
      <c r="C13" s="54"/>
      <c r="D13" s="314" t="str">
        <f>+'SHEET-4'!D13:E13</f>
        <v>Oct- 2020  to Dec- 2020</v>
      </c>
      <c r="E13" s="314"/>
      <c r="F13" s="314" t="str">
        <f>+'SHEET-4'!F13:G13</f>
        <v>Oct- 2019  to Dec- 2019</v>
      </c>
      <c r="G13" s="314"/>
      <c r="H13" s="333"/>
      <c r="I13" s="334"/>
    </row>
    <row r="14" spans="1:9" ht="21.6" customHeight="1">
      <c r="A14" s="64">
        <v>1</v>
      </c>
      <c r="B14" s="65" t="s">
        <v>4</v>
      </c>
      <c r="C14" s="66" t="s">
        <v>13</v>
      </c>
      <c r="D14" s="170">
        <f>+E14-1159.28</f>
        <v>771.17000000000007</v>
      </c>
      <c r="E14" s="170">
        <v>1930.45</v>
      </c>
      <c r="F14" s="244">
        <f>+G14-1474.62</f>
        <v>723.80000000000018</v>
      </c>
      <c r="G14" s="244">
        <v>2198.42</v>
      </c>
      <c r="H14" s="158">
        <f>(D14-F14)/F14</f>
        <v>6.5446255871787623E-2</v>
      </c>
      <c r="I14" s="159">
        <f>(E14-G14)/G14</f>
        <v>-0.12189208613458757</v>
      </c>
    </row>
    <row r="15" spans="1:9" ht="21.6" customHeight="1">
      <c r="A15" s="64">
        <v>2</v>
      </c>
      <c r="B15" s="65" t="s">
        <v>82</v>
      </c>
      <c r="C15" s="66" t="s">
        <v>13</v>
      </c>
      <c r="D15" s="170">
        <v>0</v>
      </c>
      <c r="E15" s="170">
        <v>0</v>
      </c>
      <c r="F15" s="244">
        <v>0</v>
      </c>
      <c r="G15" s="244">
        <v>0</v>
      </c>
      <c r="H15" s="195" t="e">
        <f t="shared" ref="H15:I25" si="0">(D15-F15)/F15</f>
        <v>#DIV/0!</v>
      </c>
      <c r="I15" s="196" t="e">
        <f t="shared" si="0"/>
        <v>#DIV/0!</v>
      </c>
    </row>
    <row r="16" spans="1:9" ht="21.6" customHeight="1">
      <c r="A16" s="64">
        <v>3</v>
      </c>
      <c r="B16" s="65" t="s">
        <v>7</v>
      </c>
      <c r="C16" s="66" t="s">
        <v>13</v>
      </c>
      <c r="D16" s="170">
        <v>0</v>
      </c>
      <c r="E16" s="170">
        <v>0</v>
      </c>
      <c r="F16" s="244">
        <v>0</v>
      </c>
      <c r="G16" s="244">
        <v>0</v>
      </c>
      <c r="H16" s="158">
        <v>0</v>
      </c>
      <c r="I16" s="159">
        <v>0</v>
      </c>
    </row>
    <row r="17" spans="1:18" ht="24" customHeight="1">
      <c r="A17" s="64">
        <v>4</v>
      </c>
      <c r="B17" s="65" t="s">
        <v>8</v>
      </c>
      <c r="C17" s="66" t="s">
        <v>13</v>
      </c>
      <c r="D17" s="170">
        <f>SUM(D14:D16)</f>
        <v>771.17000000000007</v>
      </c>
      <c r="E17" s="170">
        <f>SUM(E14:E16)</f>
        <v>1930.45</v>
      </c>
      <c r="F17" s="244">
        <f>SUM(F14:F16)</f>
        <v>723.80000000000018</v>
      </c>
      <c r="G17" s="244">
        <f>SUM(G14:G16)</f>
        <v>2198.42</v>
      </c>
      <c r="H17" s="158">
        <f t="shared" si="0"/>
        <v>6.5446255871787623E-2</v>
      </c>
      <c r="I17" s="159">
        <f t="shared" si="0"/>
        <v>-0.12189208613458757</v>
      </c>
    </row>
    <row r="18" spans="1:18" ht="21.6" customHeight="1">
      <c r="A18" s="64">
        <v>5</v>
      </c>
      <c r="B18" s="65" t="s">
        <v>2</v>
      </c>
      <c r="C18" s="66" t="s">
        <v>13</v>
      </c>
      <c r="D18" s="170">
        <f>+E18-1018.76</f>
        <v>304.63000000000011</v>
      </c>
      <c r="E18" s="170">
        <v>1323.39</v>
      </c>
      <c r="F18" s="244">
        <f>+G18-965.38</f>
        <v>321.75000000000011</v>
      </c>
      <c r="G18" s="244">
        <v>1287.1300000000001</v>
      </c>
      <c r="H18" s="158">
        <f t="shared" si="0"/>
        <v>-5.3209013209013202E-2</v>
      </c>
      <c r="I18" s="159">
        <f t="shared" si="0"/>
        <v>2.8171202598028161E-2</v>
      </c>
      <c r="O18" s="67"/>
      <c r="P18" s="68"/>
    </row>
    <row r="19" spans="1:18" ht="21.6" customHeight="1">
      <c r="A19" s="64">
        <v>6</v>
      </c>
      <c r="B19" s="65" t="s">
        <v>3</v>
      </c>
      <c r="C19" s="66" t="s">
        <v>13</v>
      </c>
      <c r="D19" s="304">
        <f>+E19-564.78</f>
        <v>296.77999999999997</v>
      </c>
      <c r="E19" s="304">
        <v>861.56</v>
      </c>
      <c r="F19" s="304">
        <f>+G19-684.17</f>
        <v>298.82000000000005</v>
      </c>
      <c r="G19" s="304">
        <v>982.99</v>
      </c>
      <c r="H19" s="345">
        <f t="shared" si="0"/>
        <v>-6.8268522856571746E-3</v>
      </c>
      <c r="I19" s="338">
        <f t="shared" si="0"/>
        <v>-0.12353126684910332</v>
      </c>
      <c r="O19" s="67"/>
      <c r="P19" s="68"/>
    </row>
    <row r="20" spans="1:18" ht="21.6" customHeight="1">
      <c r="A20" s="64">
        <v>7</v>
      </c>
      <c r="B20" s="65" t="s">
        <v>1</v>
      </c>
      <c r="C20" s="66" t="s">
        <v>13</v>
      </c>
      <c r="D20" s="306"/>
      <c r="E20" s="306"/>
      <c r="F20" s="306"/>
      <c r="G20" s="306"/>
      <c r="H20" s="346"/>
      <c r="I20" s="339"/>
      <c r="O20" s="67"/>
      <c r="P20" s="68"/>
    </row>
    <row r="21" spans="1:18" ht="21.6" customHeight="1">
      <c r="A21" s="64">
        <v>8</v>
      </c>
      <c r="B21" s="65" t="s">
        <v>119</v>
      </c>
      <c r="C21" s="66" t="s">
        <v>13</v>
      </c>
      <c r="D21" s="170">
        <f>+E21-100.54</f>
        <v>51.45</v>
      </c>
      <c r="E21" s="170">
        <v>151.99</v>
      </c>
      <c r="F21" s="244">
        <f>+G21-117.44</f>
        <v>51.990000000000009</v>
      </c>
      <c r="G21" s="244">
        <v>169.43</v>
      </c>
      <c r="H21" s="158">
        <f t="shared" si="0"/>
        <v>-1.0386612810155918E-2</v>
      </c>
      <c r="I21" s="159">
        <f t="shared" si="0"/>
        <v>-0.10293336481142654</v>
      </c>
      <c r="J21" s="58">
        <f>35.31+156.95</f>
        <v>192.26</v>
      </c>
      <c r="K21" s="55">
        <f>+J21*9/12</f>
        <v>144.19499999999999</v>
      </c>
    </row>
    <row r="22" spans="1:18" ht="24" customHeight="1">
      <c r="A22" s="64">
        <v>9</v>
      </c>
      <c r="B22" s="65" t="s">
        <v>10</v>
      </c>
      <c r="C22" s="66" t="s">
        <v>13</v>
      </c>
      <c r="D22" s="170">
        <f>SUM(D18:D21)</f>
        <v>652.86000000000013</v>
      </c>
      <c r="E22" s="170">
        <f>SUM(E18:E21)</f>
        <v>2336.9399999999996</v>
      </c>
      <c r="F22" s="244">
        <f>SUM(F18:F21)</f>
        <v>672.56000000000017</v>
      </c>
      <c r="G22" s="244">
        <f>SUM(G18:G21)</f>
        <v>2439.5499999999997</v>
      </c>
      <c r="H22" s="158">
        <f t="shared" si="0"/>
        <v>-2.9291066968002915E-2</v>
      </c>
      <c r="I22" s="159">
        <f t="shared" si="0"/>
        <v>-4.2061035846775077E-2</v>
      </c>
      <c r="O22" s="67"/>
      <c r="P22" s="68"/>
    </row>
    <row r="23" spans="1:18" ht="21.6" customHeight="1">
      <c r="A23" s="64">
        <v>10</v>
      </c>
      <c r="B23" s="65" t="s">
        <v>108</v>
      </c>
      <c r="C23" s="66" t="s">
        <v>13</v>
      </c>
      <c r="D23" s="170">
        <f>+E23-205.01</f>
        <v>100.11000000000001</v>
      </c>
      <c r="E23" s="170">
        <v>305.12</v>
      </c>
      <c r="F23" s="244">
        <f>+G23-180.57</f>
        <v>92.910000000000025</v>
      </c>
      <c r="G23" s="244">
        <v>273.48</v>
      </c>
      <c r="H23" s="158">
        <f t="shared" si="0"/>
        <v>7.7494349370358262E-2</v>
      </c>
      <c r="I23" s="159">
        <f t="shared" si="0"/>
        <v>0.1156940178440836</v>
      </c>
      <c r="O23" s="67"/>
      <c r="P23" s="68"/>
    </row>
    <row r="24" spans="1:18" ht="24" customHeight="1">
      <c r="A24" s="64">
        <v>11</v>
      </c>
      <c r="B24" s="65" t="s">
        <v>11</v>
      </c>
      <c r="C24" s="66" t="s">
        <v>13</v>
      </c>
      <c r="D24" s="170">
        <f>SUM(D22:D23)</f>
        <v>752.97000000000014</v>
      </c>
      <c r="E24" s="218">
        <f>SUM(E22:E23)</f>
        <v>2642.0599999999995</v>
      </c>
      <c r="F24" s="244">
        <f>SUM(F22:F23)</f>
        <v>765.47000000000025</v>
      </c>
      <c r="G24" s="244">
        <f>SUM(G22:G23)</f>
        <v>2713.0299999999997</v>
      </c>
      <c r="H24" s="158">
        <f t="shared" si="0"/>
        <v>-1.6329836570995741E-2</v>
      </c>
      <c r="I24" s="159">
        <f t="shared" si="0"/>
        <v>-2.6158944058856798E-2</v>
      </c>
      <c r="O24" s="67"/>
      <c r="P24" s="68"/>
    </row>
    <row r="25" spans="1:18" ht="31.5" customHeight="1" thickBot="1">
      <c r="A25" s="69">
        <v>12</v>
      </c>
      <c r="B25" s="70" t="s">
        <v>12</v>
      </c>
      <c r="C25" s="71" t="s">
        <v>13</v>
      </c>
      <c r="D25" s="57">
        <f>D17+D24</f>
        <v>1524.1400000000003</v>
      </c>
      <c r="E25" s="57">
        <f>E17+E24</f>
        <v>4572.5099999999993</v>
      </c>
      <c r="F25" s="57">
        <f>F17+F24</f>
        <v>1489.2700000000004</v>
      </c>
      <c r="G25" s="57">
        <f>G17+G24</f>
        <v>4911.45</v>
      </c>
      <c r="H25" s="160">
        <f t="shared" si="0"/>
        <v>2.3414155928743532E-2</v>
      </c>
      <c r="I25" s="161">
        <f t="shared" si="0"/>
        <v>-6.9010170112695945E-2</v>
      </c>
    </row>
    <row r="26" spans="1:18" ht="15" customHeight="1">
      <c r="A26" s="55"/>
      <c r="B26" s="72"/>
      <c r="C26" s="73"/>
      <c r="D26" s="138"/>
      <c r="E26" s="138"/>
      <c r="F26" s="55"/>
      <c r="G26" s="55"/>
      <c r="H26" s="138"/>
      <c r="I26" s="138"/>
    </row>
    <row r="27" spans="1:18" ht="28.5" customHeight="1">
      <c r="A27" s="74" t="s">
        <v>46</v>
      </c>
      <c r="B27" s="75" t="s">
        <v>18</v>
      </c>
      <c r="C27" s="73"/>
      <c r="D27" s="55"/>
      <c r="E27" s="55"/>
      <c r="F27" s="55"/>
      <c r="G27" s="55"/>
      <c r="H27" s="138"/>
      <c r="I27" s="138"/>
    </row>
    <row r="28" spans="1:18" ht="15" customHeight="1" thickBot="1">
      <c r="A28" s="55"/>
      <c r="B28" s="72"/>
      <c r="C28" s="73"/>
      <c r="D28" s="55"/>
      <c r="E28" s="55"/>
      <c r="F28" s="55"/>
      <c r="G28" s="55"/>
      <c r="H28" s="138"/>
      <c r="I28" s="138"/>
    </row>
    <row r="29" spans="1:18" ht="21.6" customHeight="1">
      <c r="A29" s="76">
        <v>1</v>
      </c>
      <c r="B29" s="77" t="s">
        <v>4</v>
      </c>
      <c r="C29" s="78" t="s">
        <v>21</v>
      </c>
      <c r="D29" s="189">
        <f>D14/'SHEET-4'!D29*1000</f>
        <v>799.705905838018</v>
      </c>
      <c r="E29" s="56">
        <f>E14/'SHEET-4'!E29*1000</f>
        <v>794.19933541422665</v>
      </c>
      <c r="F29" s="56">
        <f>F14/'SHEET-4'!F29*1000</f>
        <v>779.75943591870623</v>
      </c>
      <c r="G29" s="56">
        <f>G14/'SHEET-4'!G29*1000</f>
        <v>740.42190596956368</v>
      </c>
      <c r="H29" s="184">
        <f>(D29-F29)/F29</f>
        <v>2.5580286689074815E-2</v>
      </c>
      <c r="I29" s="185">
        <f>(E29-G29)/G29</f>
        <v>7.2630791999924407E-2</v>
      </c>
      <c r="N29" s="79">
        <f>(D14/'SHEET-4'!D29)*1000</f>
        <v>799.705905838018</v>
      </c>
      <c r="O29" s="79">
        <f>(E14/'SHEET-4'!E29)*1000</f>
        <v>794.19933541422665</v>
      </c>
      <c r="P29" s="79">
        <f>(F14/'SHEET-4'!F29)*1000</f>
        <v>779.75943591870623</v>
      </c>
      <c r="Q29" s="79">
        <f>(G14/'SHEET-4'!G29)*1000</f>
        <v>740.42190596956368</v>
      </c>
      <c r="R29" s="80"/>
    </row>
    <row r="30" spans="1:18" ht="21.6" customHeight="1">
      <c r="A30" s="64">
        <v>2</v>
      </c>
      <c r="B30" s="65" t="s">
        <v>82</v>
      </c>
      <c r="C30" s="81" t="s">
        <v>21</v>
      </c>
      <c r="D30" s="151">
        <v>0</v>
      </c>
      <c r="E30" s="170">
        <v>0</v>
      </c>
      <c r="F30" s="202">
        <v>0</v>
      </c>
      <c r="G30" s="202">
        <v>0</v>
      </c>
      <c r="H30" s="195" t="e">
        <f t="shared" ref="H30:I40" si="1">(D30-F30)/F30</f>
        <v>#DIV/0!</v>
      </c>
      <c r="I30" s="196" t="e">
        <f t="shared" si="1"/>
        <v>#DIV/0!</v>
      </c>
      <c r="N30" s="79" t="e">
        <f>(D15/'SHEET-4'!D30)*1000</f>
        <v>#DIV/0!</v>
      </c>
      <c r="O30" s="79" t="e">
        <f>(E15/'SHEET-4'!E30)*1000</f>
        <v>#DIV/0!</v>
      </c>
      <c r="P30" s="79" t="e">
        <f>(F15/'SHEET-4'!F30)*1000</f>
        <v>#DIV/0!</v>
      </c>
      <c r="R30" s="80"/>
    </row>
    <row r="31" spans="1:18" ht="21.6" customHeight="1">
      <c r="A31" s="64">
        <v>3</v>
      </c>
      <c r="B31" s="65" t="s">
        <v>7</v>
      </c>
      <c r="C31" s="81" t="s">
        <v>21</v>
      </c>
      <c r="D31" s="151">
        <v>0</v>
      </c>
      <c r="E31" s="170">
        <v>0</v>
      </c>
      <c r="F31" s="202">
        <v>0</v>
      </c>
      <c r="G31" s="202">
        <f t="shared" ref="G31" si="2">F31</f>
        <v>0</v>
      </c>
      <c r="H31" s="158">
        <v>0</v>
      </c>
      <c r="I31" s="159">
        <v>0</v>
      </c>
      <c r="N31" s="79" t="e">
        <f>(D16/'SHEET-4'!D31)*1000</f>
        <v>#DIV/0!</v>
      </c>
      <c r="O31" s="79" t="e">
        <f>(E16/'SHEET-4'!E31)*1000</f>
        <v>#DIV/0!</v>
      </c>
      <c r="P31" s="79" t="e">
        <f>(F16/'SHEET-4'!F31)*1000</f>
        <v>#DIV/0!</v>
      </c>
      <c r="R31" s="80"/>
    </row>
    <row r="32" spans="1:18" ht="24" customHeight="1">
      <c r="A32" s="64">
        <v>4</v>
      </c>
      <c r="B32" s="65" t="s">
        <v>8</v>
      </c>
      <c r="C32" s="81" t="s">
        <v>21</v>
      </c>
      <c r="D32" s="151">
        <f>D17/'SHEET-4'!D32*1000</f>
        <v>799.705905838018</v>
      </c>
      <c r="E32" s="151">
        <f>E17/'SHEET-4'!E32*1000</f>
        <v>794.19933541422665</v>
      </c>
      <c r="F32" s="201">
        <f>F17/'SHEET-4'!F32*1000</f>
        <v>779.75943591870623</v>
      </c>
      <c r="G32" s="201">
        <f>G17/'SHEET-4'!G32*1000</f>
        <v>740.42190596956368</v>
      </c>
      <c r="H32" s="158">
        <f t="shared" si="1"/>
        <v>2.5580286689074815E-2</v>
      </c>
      <c r="I32" s="159">
        <f t="shared" si="1"/>
        <v>7.2630791999924407E-2</v>
      </c>
      <c r="N32" s="79">
        <f>(D17/'SHEET-4'!D32)*1000</f>
        <v>799.705905838018</v>
      </c>
      <c r="O32" s="79">
        <f>(E17/'SHEET-4'!E32)*1000</f>
        <v>794.19933541422665</v>
      </c>
      <c r="P32" s="79">
        <f>(F17/'SHEET-4'!F32)*1000</f>
        <v>779.75943591870623</v>
      </c>
      <c r="R32" s="80"/>
    </row>
    <row r="33" spans="1:18" ht="21.6" customHeight="1">
      <c r="A33" s="64">
        <v>5</v>
      </c>
      <c r="B33" s="65" t="s">
        <v>2</v>
      </c>
      <c r="C33" s="81" t="s">
        <v>21</v>
      </c>
      <c r="D33" s="151">
        <f>D18/'SHEET-4'!D33*1000</f>
        <v>538.76764175303344</v>
      </c>
      <c r="E33" s="170">
        <f>E18/'SHEET-4'!E33*1000</f>
        <v>553.16187442787827</v>
      </c>
      <c r="F33" s="202">
        <f>F18/'SHEET-4'!F33*1000</f>
        <v>562.51081751572167</v>
      </c>
      <c r="G33" s="206">
        <f>G18/'SHEET-4'!G33*1000</f>
        <v>572.79885220389576</v>
      </c>
      <c r="H33" s="158">
        <f t="shared" si="1"/>
        <v>-4.2209278512274344E-2</v>
      </c>
      <c r="I33" s="159">
        <f t="shared" si="1"/>
        <v>-3.4282501964629342E-2</v>
      </c>
      <c r="N33" s="79">
        <f>(D18/'SHEET-4'!D33)*1000</f>
        <v>538.76764175303344</v>
      </c>
      <c r="O33" s="79">
        <f>(E18/'SHEET-4'!E33)*1000</f>
        <v>553.16187442787827</v>
      </c>
      <c r="P33" s="79">
        <f>(F18/'SHEET-4'!F33)*1000</f>
        <v>562.51081751572167</v>
      </c>
      <c r="R33" s="80"/>
    </row>
    <row r="34" spans="1:18" ht="21.6" customHeight="1">
      <c r="A34" s="64">
        <v>6</v>
      </c>
      <c r="B34" s="65" t="s">
        <v>3</v>
      </c>
      <c r="C34" s="81" t="s">
        <v>21</v>
      </c>
      <c r="D34" s="347">
        <f>D19/'SHEET-4'!D34*1000</f>
        <v>724.4102176062097</v>
      </c>
      <c r="E34" s="348">
        <f>E19/'SHEET-4'!E34*1000</f>
        <v>735.9137635758733</v>
      </c>
      <c r="F34" s="304">
        <f>F19/'SHEET-4'!F34:F35*1000</f>
        <v>754.07039538099707</v>
      </c>
      <c r="G34" s="349">
        <f>G19/'SHEET-4'!G34*1000</f>
        <v>739.36317843655058</v>
      </c>
      <c r="H34" s="351">
        <f t="shared" si="1"/>
        <v>-3.9333433531496022E-2</v>
      </c>
      <c r="I34" s="352">
        <f t="shared" si="1"/>
        <v>-4.6653863233646221E-3</v>
      </c>
      <c r="N34" s="79">
        <f>(D19/'SHEET-4'!D34)*1000</f>
        <v>724.4102176062097</v>
      </c>
      <c r="O34" s="79">
        <f>(E19/'SHEET-4'!E34)*1000</f>
        <v>735.9137635758733</v>
      </c>
      <c r="P34" s="79">
        <f>(F19/'SHEET-4'!F34)*1000</f>
        <v>754.07039538099707</v>
      </c>
      <c r="R34" s="80"/>
    </row>
    <row r="35" spans="1:18" ht="21.6" customHeight="1">
      <c r="A35" s="64">
        <v>7</v>
      </c>
      <c r="B35" s="65" t="s">
        <v>1</v>
      </c>
      <c r="C35" s="81" t="s">
        <v>21</v>
      </c>
      <c r="D35" s="347"/>
      <c r="E35" s="348"/>
      <c r="F35" s="306"/>
      <c r="G35" s="350"/>
      <c r="H35" s="351"/>
      <c r="I35" s="352"/>
      <c r="N35" s="79" t="e">
        <f>(D20/'SHEET-4'!D35)*1000</f>
        <v>#DIV/0!</v>
      </c>
      <c r="O35" s="79" t="e">
        <f>(E20/'SHEET-4'!E35)*1000</f>
        <v>#DIV/0!</v>
      </c>
      <c r="P35" s="79" t="e">
        <f>(F20/'SHEET-4'!F35)*1000</f>
        <v>#DIV/0!</v>
      </c>
      <c r="R35" s="80"/>
    </row>
    <row r="36" spans="1:18" ht="21.6" customHeight="1">
      <c r="A36" s="64">
        <v>8</v>
      </c>
      <c r="B36" s="65" t="s">
        <v>119</v>
      </c>
      <c r="C36" s="81" t="s">
        <v>21</v>
      </c>
      <c r="D36" s="151">
        <f>D21/'SHEET-4'!D36*1000</f>
        <v>616.90647482014379</v>
      </c>
      <c r="E36" s="170">
        <f>E21/'SHEET-4'!E36*1000</f>
        <v>599.58972740542038</v>
      </c>
      <c r="F36" s="202">
        <f>F21/'SHEET-4'!F36*1000</f>
        <v>577.32668539637802</v>
      </c>
      <c r="G36" s="206">
        <f>G21/'SHEET-4'!G36*1000</f>
        <v>582.08765498689343</v>
      </c>
      <c r="H36" s="158">
        <f t="shared" si="1"/>
        <v>6.8557006673944529E-2</v>
      </c>
      <c r="I36" s="159">
        <f t="shared" si="1"/>
        <v>3.0067760875157258E-2</v>
      </c>
      <c r="N36" s="79">
        <f>(D21/'SHEET-4'!D36)*1000</f>
        <v>616.90647482014379</v>
      </c>
      <c r="O36" s="79">
        <f>(E21/'SHEET-4'!E36)*1000</f>
        <v>599.58972740542038</v>
      </c>
      <c r="P36" s="79">
        <f>(F21/'SHEET-4'!F36)*1000</f>
        <v>577.32668539637802</v>
      </c>
      <c r="R36" s="80"/>
    </row>
    <row r="37" spans="1:18" ht="24" customHeight="1">
      <c r="A37" s="64">
        <v>9</v>
      </c>
      <c r="B37" s="65" t="s">
        <v>10</v>
      </c>
      <c r="C37" s="81" t="s">
        <v>21</v>
      </c>
      <c r="D37" s="151">
        <f>D22/'SHEET-4'!D37*1000</f>
        <v>616.77554664361548</v>
      </c>
      <c r="E37" s="170">
        <f>E22/'SHEET-4'!E37*1000</f>
        <v>612.3037702059537</v>
      </c>
      <c r="F37" s="202">
        <f>F22/'SHEET-4'!F37*1000</f>
        <v>635.49897100871397</v>
      </c>
      <c r="G37" s="206">
        <f>G22/'SHEET-4'!G37*1000</f>
        <v>630.75427046405957</v>
      </c>
      <c r="H37" s="158">
        <f t="shared" si="1"/>
        <v>-2.9462556541010897E-2</v>
      </c>
      <c r="I37" s="159">
        <f t="shared" si="1"/>
        <v>-2.9251486865925526E-2</v>
      </c>
      <c r="N37" s="79">
        <f>(D22/'SHEET-4'!D37)*1000</f>
        <v>616.77554664361548</v>
      </c>
      <c r="O37" s="79">
        <f>(E22/'SHEET-4'!E37)*1000</f>
        <v>612.3037702059537</v>
      </c>
      <c r="P37" s="79">
        <f>(F22/'SHEET-4'!F37)*1000</f>
        <v>635.49897100871397</v>
      </c>
      <c r="R37" s="80"/>
    </row>
    <row r="38" spans="1:18" ht="21.6" customHeight="1">
      <c r="A38" s="64">
        <v>10</v>
      </c>
      <c r="B38" s="65" t="s">
        <v>5</v>
      </c>
      <c r="C38" s="81" t="s">
        <v>21</v>
      </c>
      <c r="D38" s="151">
        <f>D23/'SHEET-4'!D38*1000</f>
        <v>270.81935637457536</v>
      </c>
      <c r="E38" s="170">
        <f>E23/'SHEET-4'!E38*1000</f>
        <v>316.18128611339085</v>
      </c>
      <c r="F38" s="222">
        <f>F23/'SHEET-4'!F38*1000</f>
        <v>297.11994166970482</v>
      </c>
      <c r="G38" s="206">
        <f>G23/'SHEET-4'!G38*1000</f>
        <v>323.54848021655084</v>
      </c>
      <c r="H38" s="158">
        <f t="shared" si="1"/>
        <v>-8.8518411612932585E-2</v>
      </c>
      <c r="I38" s="159">
        <f t="shared" si="1"/>
        <v>-2.2769985191181022E-2</v>
      </c>
      <c r="N38" s="79">
        <f>(D23/'SHEET-4'!D38)*1000</f>
        <v>270.81935637457536</v>
      </c>
      <c r="O38" s="79">
        <f>(E23/'SHEET-4'!E38)*1000</f>
        <v>316.18128611339085</v>
      </c>
      <c r="P38" s="79">
        <f>(F23/'SHEET-4'!F38)*1000</f>
        <v>297.11994166970482</v>
      </c>
      <c r="R38" s="80"/>
    </row>
    <row r="39" spans="1:18" ht="24" customHeight="1">
      <c r="A39" s="64">
        <v>11</v>
      </c>
      <c r="B39" s="65" t="s">
        <v>11</v>
      </c>
      <c r="C39" s="81" t="s">
        <v>21</v>
      </c>
      <c r="D39" s="151">
        <f>D24/'SHEET-4'!D39*1000</f>
        <v>527.23047331498356</v>
      </c>
      <c r="E39" s="170">
        <f>E24/'SHEET-4'!E39*1000</f>
        <v>552.54137117075254</v>
      </c>
      <c r="F39" s="202">
        <f>F24/'SHEET-4'!F39*1000</f>
        <v>558.32154162594293</v>
      </c>
      <c r="G39" s="206">
        <f>G24/'SHEET-4'!G39*1000</f>
        <v>575.6576120594375</v>
      </c>
      <c r="H39" s="158">
        <f t="shared" si="1"/>
        <v>-5.5686671555634448E-2</v>
      </c>
      <c r="I39" s="159">
        <f t="shared" si="1"/>
        <v>-4.0156232462532207E-2</v>
      </c>
      <c r="N39" s="79">
        <f>(D24/'SHEET-4'!D39)*1000</f>
        <v>527.23047331498356</v>
      </c>
      <c r="O39" s="79">
        <f>(E24/'SHEET-4'!E39)*1000</f>
        <v>552.54137117075254</v>
      </c>
      <c r="P39" s="79">
        <f>(F24/'SHEET-4'!F39)*1000</f>
        <v>558.32154162594293</v>
      </c>
      <c r="R39" s="80"/>
    </row>
    <row r="40" spans="1:18" ht="31.5" customHeight="1" thickBot="1">
      <c r="A40" s="69">
        <v>12</v>
      </c>
      <c r="B40" s="70" t="s">
        <v>12</v>
      </c>
      <c r="C40" s="82" t="s">
        <v>21</v>
      </c>
      <c r="D40" s="190">
        <f>D25/'SHEET-4'!D40*1000</f>
        <v>637.05496978446627</v>
      </c>
      <c r="E40" s="57">
        <f>E25/'SHEET-4'!E40*1000</f>
        <v>633.98443056883912</v>
      </c>
      <c r="F40" s="57">
        <f>F25/'SHEET-4'!F40*1000</f>
        <v>647.71850012286598</v>
      </c>
      <c r="G40" s="206">
        <f>G25/'SHEET-4'!G40*1000</f>
        <v>639.33956325301983</v>
      </c>
      <c r="H40" s="160">
        <f t="shared" si="1"/>
        <v>-1.6463217179032156E-2</v>
      </c>
      <c r="I40" s="161">
        <f t="shared" si="1"/>
        <v>-8.3760383245067745E-3</v>
      </c>
      <c r="N40" s="79">
        <f>(D25/'SHEET-4'!D40)*1000</f>
        <v>637.05496978446627</v>
      </c>
      <c r="O40" s="79">
        <f>(E25/'SHEET-4'!E40)*1000</f>
        <v>633.98443056883912</v>
      </c>
      <c r="P40" s="79">
        <f>(F25/'SHEET-4'!F40)*1000</f>
        <v>647.71850012286598</v>
      </c>
      <c r="R40" s="80"/>
    </row>
    <row r="41" spans="1:18" ht="23.25">
      <c r="P41" s="80"/>
    </row>
    <row r="42" spans="1:18" ht="23.25">
      <c r="P42" s="80"/>
    </row>
    <row r="43" spans="1:18" ht="12.75" customHeight="1">
      <c r="A43" s="317"/>
      <c r="B43" s="317"/>
      <c r="P43" s="80"/>
    </row>
    <row r="44" spans="1:18" ht="23.25">
      <c r="P44" s="80"/>
    </row>
    <row r="49" spans="4:6" ht="26.25">
      <c r="D49" s="83"/>
    </row>
    <row r="50" spans="4:6" ht="26.25">
      <c r="D50" s="83"/>
    </row>
    <row r="51" spans="4:6" ht="26.25">
      <c r="D51" s="84"/>
    </row>
    <row r="55" spans="4:6" ht="23.25">
      <c r="F55" s="68"/>
    </row>
    <row r="56" spans="4:6" ht="23.25">
      <c r="F56" s="68"/>
    </row>
    <row r="57" spans="4:6" ht="23.25">
      <c r="F57" s="68"/>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sheetPr>
    <tabColor theme="6" tint="-0.249977111117893"/>
  </sheetPr>
  <dimension ref="A2:P76"/>
  <sheetViews>
    <sheetView view="pageBreakPreview" topLeftCell="A13" zoomScale="60" zoomScaleNormal="60" workbookViewId="0">
      <selection activeCell="D48" sqref="D48"/>
    </sheetView>
  </sheetViews>
  <sheetFormatPr defaultRowHeight="12.75"/>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c r="I2" s="48" t="s">
        <v>226</v>
      </c>
    </row>
    <row r="5" spans="1:10" ht="30">
      <c r="A5" s="363" t="s">
        <v>0</v>
      </c>
      <c r="B5" s="363"/>
      <c r="C5" s="363"/>
      <c r="D5" s="363"/>
      <c r="E5" s="363"/>
      <c r="F5" s="363"/>
      <c r="G5" s="363"/>
      <c r="H5" s="363"/>
      <c r="I5" s="363"/>
      <c r="J5" s="5"/>
    </row>
    <row r="6" spans="1:10" ht="8.25" customHeight="1">
      <c r="A6" s="5"/>
      <c r="B6" s="5"/>
      <c r="C6" s="5"/>
      <c r="D6" s="5"/>
      <c r="E6" s="5"/>
      <c r="F6" s="5"/>
      <c r="G6" s="5"/>
      <c r="H6" s="5"/>
      <c r="I6" s="5"/>
      <c r="J6" s="5"/>
    </row>
    <row r="7" spans="1:10" ht="30">
      <c r="A7" s="365" t="s">
        <v>20</v>
      </c>
      <c r="B7" s="365"/>
      <c r="C7" s="365"/>
      <c r="D7" s="365"/>
      <c r="E7" s="365"/>
      <c r="F7" s="365"/>
      <c r="G7" s="365"/>
      <c r="H7" s="365"/>
      <c r="I7" s="365"/>
      <c r="J7" s="5"/>
    </row>
    <row r="8" spans="1:10" ht="8.25" customHeight="1">
      <c r="A8" s="5"/>
      <c r="B8" s="5"/>
      <c r="C8" s="5"/>
      <c r="D8" s="5"/>
      <c r="E8" s="5"/>
      <c r="F8" s="5"/>
      <c r="G8" s="5"/>
      <c r="H8" s="5"/>
      <c r="I8" s="5"/>
      <c r="J8" s="5"/>
    </row>
    <row r="9" spans="1:10" ht="27.75">
      <c r="A9" s="364" t="s">
        <v>40</v>
      </c>
      <c r="B9" s="364"/>
      <c r="C9" s="364"/>
      <c r="D9" s="364"/>
      <c r="E9" s="364"/>
      <c r="F9" s="364"/>
      <c r="G9" s="364"/>
      <c r="H9" s="364"/>
      <c r="I9" s="364"/>
      <c r="J9" s="5"/>
    </row>
    <row r="10" spans="1:10" ht="13.5" thickBot="1">
      <c r="A10" s="5"/>
      <c r="B10" s="5"/>
      <c r="C10" s="5"/>
      <c r="D10" s="5"/>
      <c r="E10" s="5"/>
      <c r="F10" s="5"/>
      <c r="G10" s="5"/>
      <c r="H10" s="5"/>
      <c r="I10" s="5"/>
      <c r="J10" s="5"/>
    </row>
    <row r="11" spans="1:10" ht="18">
      <c r="A11" s="12"/>
      <c r="B11" s="50"/>
      <c r="C11" s="50"/>
      <c r="D11" s="359" t="s">
        <v>16</v>
      </c>
      <c r="E11" s="359"/>
      <c r="F11" s="359" t="s">
        <v>66</v>
      </c>
      <c r="G11" s="359"/>
      <c r="H11" s="359" t="s">
        <v>17</v>
      </c>
      <c r="I11" s="366"/>
      <c r="J11" s="5"/>
    </row>
    <row r="12" spans="1:10" ht="18">
      <c r="A12" s="13"/>
      <c r="B12" s="51"/>
      <c r="C12" s="51"/>
      <c r="D12" s="51" t="s">
        <v>14</v>
      </c>
      <c r="E12" s="51" t="s">
        <v>15</v>
      </c>
      <c r="F12" s="51" t="s">
        <v>14</v>
      </c>
      <c r="G12" s="51" t="s">
        <v>15</v>
      </c>
      <c r="H12" s="355" t="s">
        <v>14</v>
      </c>
      <c r="I12" s="357" t="s">
        <v>15</v>
      </c>
      <c r="J12" s="5"/>
    </row>
    <row r="13" spans="1:10" ht="27" customHeight="1" thickBot="1">
      <c r="A13" s="15" t="s">
        <v>38</v>
      </c>
      <c r="B13" s="16" t="s">
        <v>39</v>
      </c>
      <c r="C13" s="1"/>
      <c r="D13" s="314" t="str">
        <f>+'SHEET-5'!D13:E13</f>
        <v>Oct- 2020  to Dec- 2020</v>
      </c>
      <c r="E13" s="314"/>
      <c r="F13" s="314" t="str">
        <f>+'SHEET-5'!F13:G13</f>
        <v>Oct- 2019  to Dec- 2019</v>
      </c>
      <c r="G13" s="314"/>
      <c r="H13" s="356"/>
      <c r="I13" s="358"/>
      <c r="J13" s="5"/>
    </row>
    <row r="14" spans="1:10" ht="23.25">
      <c r="A14" s="127">
        <v>1</v>
      </c>
      <c r="B14" s="128" t="s">
        <v>4</v>
      </c>
      <c r="C14" s="129" t="s">
        <v>35</v>
      </c>
      <c r="D14" s="240">
        <v>90.467110619991786</v>
      </c>
      <c r="E14" s="240">
        <v>90.127853338573814</v>
      </c>
      <c r="F14" s="240">
        <v>87.746968898523576</v>
      </c>
      <c r="G14" s="240">
        <v>86.342805494976531</v>
      </c>
      <c r="H14" s="147">
        <f>(D14-F14)/F14</f>
        <v>3.0999836867458774E-2</v>
      </c>
      <c r="I14" s="148">
        <f>(E14-G14)/G14</f>
        <v>4.383744333877939E-2</v>
      </c>
      <c r="J14" s="5"/>
    </row>
    <row r="15" spans="1:10" ht="23.25">
      <c r="A15" s="13">
        <v>2</v>
      </c>
      <c r="B15" s="14" t="s">
        <v>82</v>
      </c>
      <c r="C15" s="26" t="s">
        <v>35</v>
      </c>
      <c r="D15" s="214">
        <v>0</v>
      </c>
      <c r="E15" s="214">
        <v>0</v>
      </c>
      <c r="F15" s="214">
        <v>0</v>
      </c>
      <c r="G15" s="214">
        <v>0</v>
      </c>
      <c r="H15" s="197" t="e">
        <f t="shared" ref="H15:H18" si="0">(D15-F15)/F15</f>
        <v>#DIV/0!</v>
      </c>
      <c r="I15" s="198" t="e">
        <f t="shared" ref="I15:I25" si="1">(E15-G15)/G15</f>
        <v>#DIV/0!</v>
      </c>
      <c r="J15" s="5"/>
    </row>
    <row r="16" spans="1:10" ht="23.25">
      <c r="A16" s="13">
        <v>3</v>
      </c>
      <c r="B16" s="14" t="s">
        <v>7</v>
      </c>
      <c r="C16" s="26" t="s">
        <v>35</v>
      </c>
      <c r="D16" s="214">
        <v>0</v>
      </c>
      <c r="E16" s="214">
        <v>0</v>
      </c>
      <c r="F16" s="214">
        <v>0</v>
      </c>
      <c r="G16" s="214">
        <v>0</v>
      </c>
      <c r="H16" s="147">
        <v>0</v>
      </c>
      <c r="I16" s="144">
        <v>0</v>
      </c>
      <c r="J16" s="5"/>
    </row>
    <row r="17" spans="1:16" ht="23.25">
      <c r="A17" s="13">
        <v>4</v>
      </c>
      <c r="B17" s="14" t="s">
        <v>8</v>
      </c>
      <c r="C17" s="26" t="s">
        <v>35</v>
      </c>
      <c r="D17" s="214">
        <f>SUM(D14:D16)</f>
        <v>90.467110619991786</v>
      </c>
      <c r="E17" s="214">
        <f>SUM(E14:E16)</f>
        <v>90.127853338573814</v>
      </c>
      <c r="F17" s="214">
        <f>SUM(F14:F16)</f>
        <v>87.746968898523576</v>
      </c>
      <c r="G17" s="214">
        <f>SUM(G14:G16)</f>
        <v>86.342805494976531</v>
      </c>
      <c r="H17" s="147">
        <f t="shared" si="0"/>
        <v>3.0999836867458774E-2</v>
      </c>
      <c r="I17" s="144">
        <f t="shared" si="1"/>
        <v>4.383744333877939E-2</v>
      </c>
      <c r="J17" s="5"/>
    </row>
    <row r="18" spans="1:16" ht="23.25">
      <c r="A18" s="13">
        <v>5</v>
      </c>
      <c r="B18" s="14" t="s">
        <v>2</v>
      </c>
      <c r="C18" s="26" t="s">
        <v>35</v>
      </c>
      <c r="D18" s="241">
        <v>19.463115326442516</v>
      </c>
      <c r="E18" s="241">
        <v>16.533394326163865</v>
      </c>
      <c r="F18" s="241">
        <v>18.871017238516529</v>
      </c>
      <c r="G18" s="241">
        <v>17.359541117429959</v>
      </c>
      <c r="H18" s="147">
        <f t="shared" si="0"/>
        <v>3.1376055696536051E-2</v>
      </c>
      <c r="I18" s="144">
        <f t="shared" si="1"/>
        <v>-4.7590358850937368E-2</v>
      </c>
      <c r="J18" s="5"/>
    </row>
    <row r="19" spans="1:16" ht="18" customHeight="1">
      <c r="A19" s="13">
        <v>6</v>
      </c>
      <c r="B19" s="14" t="s">
        <v>3</v>
      </c>
      <c r="C19" s="26" t="s">
        <v>35</v>
      </c>
      <c r="D19" s="361">
        <v>88.10097355100558</v>
      </c>
      <c r="E19" s="361">
        <v>82.907739056312707</v>
      </c>
      <c r="F19" s="361">
        <v>85.233269269550092</v>
      </c>
      <c r="G19" s="361">
        <v>78.039758554580843</v>
      </c>
      <c r="H19" s="354">
        <f t="shared" ref="H19" si="2">(D19-F19)/F19</f>
        <v>3.3645362967204474E-2</v>
      </c>
      <c r="I19" s="360">
        <f t="shared" si="1"/>
        <v>6.2378210695349719E-2</v>
      </c>
      <c r="J19" s="5"/>
    </row>
    <row r="20" spans="1:16" ht="18" customHeight="1">
      <c r="A20" s="13">
        <v>7</v>
      </c>
      <c r="B20" s="14" t="s">
        <v>1</v>
      </c>
      <c r="C20" s="26" t="s">
        <v>35</v>
      </c>
      <c r="D20" s="362"/>
      <c r="E20" s="362"/>
      <c r="F20" s="362"/>
      <c r="G20" s="362"/>
      <c r="H20" s="354"/>
      <c r="I20" s="360"/>
      <c r="J20" s="5"/>
      <c r="P20" s="2"/>
    </row>
    <row r="21" spans="1:16" ht="23.25">
      <c r="A21" s="13">
        <v>8</v>
      </c>
      <c r="B21" s="14" t="s">
        <v>9</v>
      </c>
      <c r="C21" s="26" t="s">
        <v>35</v>
      </c>
      <c r="D21" s="241">
        <v>3.7259051090157644</v>
      </c>
      <c r="E21" s="241">
        <v>3.565668933647038</v>
      </c>
      <c r="F21" s="241">
        <v>3.4668990654867637</v>
      </c>
      <c r="G21" s="241">
        <v>3.3403395473104296</v>
      </c>
      <c r="H21" s="147">
        <f t="shared" ref="H21:H25" si="3">(D21-F21)/F21</f>
        <v>7.4708273484920568E-2</v>
      </c>
      <c r="I21" s="144">
        <f t="shared" si="1"/>
        <v>6.7457030384243069E-2</v>
      </c>
      <c r="J21" s="5"/>
    </row>
    <row r="22" spans="1:16" ht="23.25">
      <c r="A22" s="13">
        <v>9</v>
      </c>
      <c r="B22" s="14" t="s">
        <v>10</v>
      </c>
      <c r="C22" s="26" t="s">
        <v>35</v>
      </c>
      <c r="D22" s="214">
        <v>42.045386800855056</v>
      </c>
      <c r="E22" s="214">
        <v>35.667205762711241</v>
      </c>
      <c r="F22" s="214">
        <v>39.773978488377004</v>
      </c>
      <c r="G22" s="214">
        <v>36.626267647973187</v>
      </c>
      <c r="H22" s="147">
        <f t="shared" si="3"/>
        <v>5.7107898148580145E-2</v>
      </c>
      <c r="I22" s="144">
        <f t="shared" si="1"/>
        <v>-2.6185083734979422E-2</v>
      </c>
      <c r="J22" s="5"/>
    </row>
    <row r="23" spans="1:16" ht="23.25">
      <c r="A23" s="13">
        <v>10</v>
      </c>
      <c r="B23" s="14" t="s">
        <v>5</v>
      </c>
      <c r="C23" s="26" t="s">
        <v>35</v>
      </c>
      <c r="D23" s="241">
        <v>37.494549910250541</v>
      </c>
      <c r="E23" s="241">
        <v>34.119945704913171</v>
      </c>
      <c r="F23" s="241">
        <v>56.249569567914868</v>
      </c>
      <c r="G23" s="241">
        <v>36.878929291771115</v>
      </c>
      <c r="H23" s="147">
        <f t="shared" si="3"/>
        <v>-0.33342512310284977</v>
      </c>
      <c r="I23" s="144">
        <f t="shared" si="1"/>
        <v>-7.4811922142044476E-2</v>
      </c>
      <c r="J23" s="5"/>
    </row>
    <row r="24" spans="1:16" ht="23.25">
      <c r="A24" s="13">
        <v>11</v>
      </c>
      <c r="B24" s="14" t="s">
        <v>11</v>
      </c>
      <c r="C24" s="26" t="s">
        <v>35</v>
      </c>
      <c r="D24" s="214">
        <v>41.376825999530794</v>
      </c>
      <c r="E24" s="214">
        <v>35.446346657610988</v>
      </c>
      <c r="F24" s="214">
        <v>41.357079621511872</v>
      </c>
      <c r="G24" s="214">
        <v>36.658129149816908</v>
      </c>
      <c r="H24" s="147">
        <f t="shared" si="3"/>
        <v>4.7746064759977288E-4</v>
      </c>
      <c r="I24" s="144">
        <f t="shared" si="1"/>
        <v>-3.3056310300329995E-2</v>
      </c>
      <c r="J24" s="5"/>
    </row>
    <row r="25" spans="1:16" ht="24" thickBot="1">
      <c r="A25" s="15">
        <v>12</v>
      </c>
      <c r="B25" s="16" t="s">
        <v>12</v>
      </c>
      <c r="C25" s="27" t="s">
        <v>35</v>
      </c>
      <c r="D25" s="242">
        <v>66.747163504738253</v>
      </c>
      <c r="E25" s="242">
        <v>60.632745301939508</v>
      </c>
      <c r="F25" s="242">
        <v>65.330939718363339</v>
      </c>
      <c r="G25" s="242">
        <v>61.231434148026295</v>
      </c>
      <c r="H25" s="147">
        <f t="shared" si="3"/>
        <v>2.1677688894115806E-2</v>
      </c>
      <c r="I25" s="143">
        <f t="shared" si="1"/>
        <v>-9.7774754816205012E-3</v>
      </c>
      <c r="J25" s="5"/>
    </row>
    <row r="26" spans="1:16" ht="8.25" customHeight="1">
      <c r="A26" s="6"/>
      <c r="B26" s="7"/>
      <c r="C26" s="8"/>
      <c r="D26" s="210"/>
      <c r="E26" s="210"/>
      <c r="F26" s="136"/>
      <c r="G26" s="136"/>
      <c r="H26" s="10"/>
      <c r="I26" s="11"/>
      <c r="J26" s="5"/>
    </row>
    <row r="27" spans="1:16" ht="27" customHeight="1">
      <c r="A27" s="3" t="s">
        <v>6</v>
      </c>
      <c r="B27" s="9" t="s">
        <v>103</v>
      </c>
      <c r="C27" s="8"/>
      <c r="D27" s="210"/>
      <c r="E27" s="210"/>
      <c r="F27" s="136"/>
      <c r="G27" s="136"/>
      <c r="H27" s="10"/>
      <c r="I27" s="11"/>
      <c r="J27" s="5"/>
    </row>
    <row r="28" spans="1:16" ht="9" customHeight="1" thickBot="1">
      <c r="A28" s="6"/>
      <c r="B28" s="7"/>
      <c r="C28" s="8"/>
      <c r="D28" s="210"/>
      <c r="E28" s="210"/>
      <c r="F28" s="136"/>
      <c r="G28" s="136"/>
      <c r="H28" s="10"/>
      <c r="I28" s="146"/>
      <c r="J28" s="5"/>
    </row>
    <row r="29" spans="1:16" ht="23.25">
      <c r="A29" s="12">
        <v>1</v>
      </c>
      <c r="B29" s="17" t="s">
        <v>4</v>
      </c>
      <c r="C29" s="4" t="s">
        <v>35</v>
      </c>
      <c r="D29" s="230">
        <v>417.73171928396397</v>
      </c>
      <c r="E29" s="230">
        <v>418.63927093417101</v>
      </c>
      <c r="F29" s="230">
        <v>417.97506308518803</v>
      </c>
      <c r="G29" s="230">
        <v>417.66628159303514</v>
      </c>
      <c r="H29" s="140">
        <f>(D29-F29)/F29</f>
        <v>-5.8219693641020154E-4</v>
      </c>
      <c r="I29" s="141">
        <f>(E29-G29)/G29</f>
        <v>2.3295855663156718E-3</v>
      </c>
      <c r="J29" s="5"/>
    </row>
    <row r="30" spans="1:16" ht="23.25">
      <c r="A30" s="13">
        <v>2</v>
      </c>
      <c r="B30" s="14" t="s">
        <v>82</v>
      </c>
      <c r="C30" s="26" t="s">
        <v>35</v>
      </c>
      <c r="D30" s="230">
        <v>0</v>
      </c>
      <c r="E30" s="230">
        <v>0</v>
      </c>
      <c r="F30" s="230">
        <v>0</v>
      </c>
      <c r="G30" s="230">
        <v>0</v>
      </c>
      <c r="H30" s="194" t="e">
        <f t="shared" ref="H30:H40" si="4">(D30-F30)/F30</f>
        <v>#DIV/0!</v>
      </c>
      <c r="I30" s="198" t="e">
        <f t="shared" ref="I30:I40" si="5">(E30-G30)/G30</f>
        <v>#DIV/0!</v>
      </c>
      <c r="J30" s="5"/>
    </row>
    <row r="31" spans="1:16" ht="23.25">
      <c r="A31" s="13">
        <v>3</v>
      </c>
      <c r="B31" s="14" t="s">
        <v>7</v>
      </c>
      <c r="C31" s="26" t="s">
        <v>35</v>
      </c>
      <c r="D31" s="230">
        <v>0</v>
      </c>
      <c r="E31" s="230">
        <v>0</v>
      </c>
      <c r="F31" s="230">
        <v>0</v>
      </c>
      <c r="G31" s="230">
        <v>0</v>
      </c>
      <c r="H31" s="145">
        <v>0</v>
      </c>
      <c r="I31" s="144">
        <v>0</v>
      </c>
      <c r="J31" s="5"/>
    </row>
    <row r="32" spans="1:16" ht="23.25">
      <c r="A32" s="13">
        <v>4</v>
      </c>
      <c r="B32" s="14" t="s">
        <v>8</v>
      </c>
      <c r="C32" s="26" t="s">
        <v>35</v>
      </c>
      <c r="D32" s="230">
        <f>SUM(D29:D31)</f>
        <v>417.73171928396397</v>
      </c>
      <c r="E32" s="230">
        <f>SUM(E29:E31)</f>
        <v>418.63927093417101</v>
      </c>
      <c r="F32" s="230">
        <f>SUM(F29:F31)</f>
        <v>417.97506308518803</v>
      </c>
      <c r="G32" s="230">
        <f>SUM(G29:G31)</f>
        <v>417.66628159303514</v>
      </c>
      <c r="H32" s="145">
        <f t="shared" si="4"/>
        <v>-5.8219693641020154E-4</v>
      </c>
      <c r="I32" s="144">
        <f t="shared" si="5"/>
        <v>2.3295855663156718E-3</v>
      </c>
      <c r="J32" s="5"/>
    </row>
    <row r="33" spans="1:10" ht="23.25">
      <c r="A33" s="13">
        <v>5</v>
      </c>
      <c r="B33" s="14" t="s">
        <v>2</v>
      </c>
      <c r="C33" s="26" t="s">
        <v>35</v>
      </c>
      <c r="D33" s="224">
        <v>360.46759504992474</v>
      </c>
      <c r="E33" s="224">
        <v>367.76134415401003</v>
      </c>
      <c r="F33" s="224">
        <v>365.92927497686253</v>
      </c>
      <c r="G33" s="224">
        <v>381.686258256418</v>
      </c>
      <c r="H33" s="145">
        <f t="shared" si="4"/>
        <v>-1.4925506922842205E-2</v>
      </c>
      <c r="I33" s="144">
        <f t="shared" si="5"/>
        <v>-3.6482618384058162E-2</v>
      </c>
      <c r="J33" s="5"/>
    </row>
    <row r="34" spans="1:10" ht="18" customHeight="1">
      <c r="A34" s="13">
        <v>6</v>
      </c>
      <c r="B34" s="14" t="s">
        <v>3</v>
      </c>
      <c r="C34" s="26" t="s">
        <v>35</v>
      </c>
      <c r="D34" s="335">
        <v>467.2643071005466</v>
      </c>
      <c r="E34" s="335">
        <v>463.26367133096136</v>
      </c>
      <c r="F34" s="335">
        <v>475.10377128773547</v>
      </c>
      <c r="G34" s="335">
        <v>470.71808479355326</v>
      </c>
      <c r="H34" s="354">
        <f t="shared" si="4"/>
        <v>-1.6500530328228187E-2</v>
      </c>
      <c r="I34" s="360">
        <f t="shared" si="5"/>
        <v>-1.5836258906137515E-2</v>
      </c>
      <c r="J34" s="5"/>
    </row>
    <row r="35" spans="1:10" ht="18" customHeight="1">
      <c r="A35" s="13">
        <v>7</v>
      </c>
      <c r="B35" s="14" t="s">
        <v>1</v>
      </c>
      <c r="C35" s="26" t="s">
        <v>35</v>
      </c>
      <c r="D35" s="336"/>
      <c r="E35" s="336" t="e">
        <v>#DIV/0!</v>
      </c>
      <c r="F35" s="336"/>
      <c r="G35" s="336"/>
      <c r="H35" s="354"/>
      <c r="I35" s="360"/>
      <c r="J35" s="5"/>
    </row>
    <row r="36" spans="1:10" ht="23.25">
      <c r="A36" s="13">
        <v>8</v>
      </c>
      <c r="B36" s="14" t="s">
        <v>9</v>
      </c>
      <c r="C36" s="26" t="s">
        <v>35</v>
      </c>
      <c r="D36" s="224">
        <v>340.00617102147839</v>
      </c>
      <c r="E36" s="224">
        <v>343.31491573348637</v>
      </c>
      <c r="F36" s="224">
        <v>358.53546643210723</v>
      </c>
      <c r="G36" s="224">
        <v>357.37496701532729</v>
      </c>
      <c r="H36" s="145">
        <f t="shared" si="4"/>
        <v>-5.1680509030304168E-2</v>
      </c>
      <c r="I36" s="144">
        <f t="shared" si="5"/>
        <v>-3.9342574549262981E-2</v>
      </c>
      <c r="J36" s="5"/>
    </row>
    <row r="37" spans="1:10" ht="23.25">
      <c r="A37" s="13">
        <v>9</v>
      </c>
      <c r="B37" s="14" t="s">
        <v>10</v>
      </c>
      <c r="C37" s="26" t="s">
        <v>35</v>
      </c>
      <c r="D37" s="230">
        <v>395.82419623908572</v>
      </c>
      <c r="E37" s="230">
        <v>394.98069635274476</v>
      </c>
      <c r="F37" s="230">
        <v>401.51716952405775</v>
      </c>
      <c r="G37" s="230">
        <v>409.71602969849926</v>
      </c>
      <c r="H37" s="145">
        <f t="shared" si="4"/>
        <v>-1.4178654655591061E-2</v>
      </c>
      <c r="I37" s="144">
        <f t="shared" si="5"/>
        <v>-3.5964746989757504E-2</v>
      </c>
      <c r="J37" s="5"/>
    </row>
    <row r="38" spans="1:10" ht="23.25">
      <c r="A38" s="13">
        <v>10</v>
      </c>
      <c r="B38" s="14" t="s">
        <v>223</v>
      </c>
      <c r="C38" s="26" t="s">
        <v>35</v>
      </c>
      <c r="D38" s="224">
        <v>93.313157766150184</v>
      </c>
      <c r="E38" s="224">
        <v>86.37771116073769</v>
      </c>
      <c r="F38" s="224">
        <v>123.59175900499515</v>
      </c>
      <c r="G38" s="224">
        <v>96.848297862922792</v>
      </c>
      <c r="H38" s="145">
        <f t="shared" si="4"/>
        <v>-0.24498883649371164</v>
      </c>
      <c r="I38" s="144">
        <f t="shared" si="5"/>
        <v>-0.10811327543417405</v>
      </c>
      <c r="J38" s="5"/>
    </row>
    <row r="39" spans="1:10" ht="23.25">
      <c r="A39" s="13">
        <v>11</v>
      </c>
      <c r="B39" s="14" t="s">
        <v>11</v>
      </c>
      <c r="C39" s="26" t="s">
        <v>35</v>
      </c>
      <c r="D39" s="230">
        <v>351.38247548472236</v>
      </c>
      <c r="E39" s="230">
        <v>350.93006711478165</v>
      </c>
      <c r="F39" s="230">
        <v>374.81196482483779</v>
      </c>
      <c r="G39" s="230">
        <v>370.26233318613305</v>
      </c>
      <c r="H39" s="145">
        <f t="shared" si="4"/>
        <v>-6.2509982441635262E-2</v>
      </c>
      <c r="I39" s="144">
        <f t="shared" si="5"/>
        <v>-5.221234875553208E-2</v>
      </c>
      <c r="J39" s="5"/>
    </row>
    <row r="40" spans="1:10" ht="24" thickBot="1">
      <c r="A40" s="15"/>
      <c r="B40" s="16" t="s">
        <v>12</v>
      </c>
      <c r="C40" s="27" t="s">
        <v>35</v>
      </c>
      <c r="D40" s="230">
        <v>385.67241129211118</v>
      </c>
      <c r="E40" s="230">
        <v>382.11704609169675</v>
      </c>
      <c r="F40" s="230">
        <v>397.11824955988402</v>
      </c>
      <c r="G40" s="230">
        <v>393.70762392788646</v>
      </c>
      <c r="H40" s="142">
        <f t="shared" si="4"/>
        <v>-2.8822241940424473E-2</v>
      </c>
      <c r="I40" s="143">
        <f t="shared" si="5"/>
        <v>-2.9439556492593347E-2</v>
      </c>
      <c r="J40" s="5"/>
    </row>
    <row r="41" spans="1:10" ht="15.75" customHeight="1">
      <c r="A41" s="6"/>
      <c r="B41" s="7"/>
      <c r="C41" s="8"/>
      <c r="D41" s="117"/>
      <c r="E41" s="117"/>
      <c r="F41" s="23"/>
      <c r="G41" s="23"/>
      <c r="H41" s="10"/>
      <c r="I41" s="11"/>
      <c r="J41" s="5"/>
    </row>
    <row r="42" spans="1:10" ht="20.25">
      <c r="A42" s="3" t="s">
        <v>45</v>
      </c>
      <c r="B42" s="9" t="s">
        <v>36</v>
      </c>
      <c r="C42" s="8"/>
      <c r="D42" s="117"/>
      <c r="E42" s="117"/>
      <c r="F42" s="23"/>
      <c r="G42" s="23"/>
      <c r="H42" s="10"/>
      <c r="I42" s="11"/>
      <c r="J42" s="5"/>
    </row>
    <row r="43" spans="1:10" ht="12" customHeight="1" thickBot="1">
      <c r="A43" s="6"/>
      <c r="B43" s="7"/>
      <c r="C43" s="8"/>
      <c r="D43" s="117"/>
      <c r="E43" s="117"/>
      <c r="F43" s="23"/>
      <c r="G43" s="23"/>
      <c r="H43" s="10"/>
      <c r="I43" s="11"/>
      <c r="J43" s="5"/>
    </row>
    <row r="44" spans="1:10" ht="23.25">
      <c r="A44" s="12">
        <v>1</v>
      </c>
      <c r="B44" s="17" t="s">
        <v>4</v>
      </c>
      <c r="C44" s="4" t="s">
        <v>37</v>
      </c>
      <c r="D44" s="211">
        <f>'SHEET-4'!D29/'SHEET-4'!D14*10^6</f>
        <v>396186.11339359079</v>
      </c>
      <c r="E44" s="211">
        <f>'SHEET-4'!E29/'SHEET-4'!E14*10^6</f>
        <v>998638.86606409203</v>
      </c>
      <c r="F44" s="45">
        <f>'SHEET-4'!F29/'SHEET-4'!F14*10^6</f>
        <v>411816.77018633531</v>
      </c>
      <c r="G44" s="45">
        <f>'SHEET-4'!G29/'SHEET-4'!G14*10^6</f>
        <v>1317278.1721384206</v>
      </c>
      <c r="H44" s="140">
        <f>(D44-F44)/F44</f>
        <v>-3.795536734861988E-2</v>
      </c>
      <c r="I44" s="141">
        <f>(E44-G44)/G44</f>
        <v>-0.24189219317060523</v>
      </c>
      <c r="J44" s="5"/>
    </row>
    <row r="45" spans="1:10" ht="23.25">
      <c r="A45" s="13">
        <v>2</v>
      </c>
      <c r="B45" s="14" t="s">
        <v>82</v>
      </c>
      <c r="C45" s="26" t="s">
        <v>37</v>
      </c>
      <c r="D45" s="212">
        <v>0</v>
      </c>
      <c r="E45" s="213">
        <v>0</v>
      </c>
      <c r="F45" s="46">
        <v>0</v>
      </c>
      <c r="G45" s="217">
        <v>0</v>
      </c>
      <c r="H45" s="194" t="e">
        <f t="shared" ref="H45:H55" si="6">(D45-F45)/F45</f>
        <v>#DIV/0!</v>
      </c>
      <c r="I45" s="198" t="e">
        <f t="shared" ref="I45:I54" si="7">(E45-G45)/G45</f>
        <v>#DIV/0!</v>
      </c>
      <c r="J45" s="5"/>
    </row>
    <row r="46" spans="1:10" ht="24" thickBot="1">
      <c r="A46" s="13">
        <v>3</v>
      </c>
      <c r="B46" s="14" t="s">
        <v>7</v>
      </c>
      <c r="C46" s="26" t="s">
        <v>37</v>
      </c>
      <c r="D46" s="214">
        <v>0</v>
      </c>
      <c r="E46" s="113">
        <f t="shared" ref="E46" si="8">D46</f>
        <v>0</v>
      </c>
      <c r="F46" s="46">
        <v>0</v>
      </c>
      <c r="G46" s="217">
        <v>0</v>
      </c>
      <c r="H46" s="52">
        <v>0</v>
      </c>
      <c r="I46" s="93">
        <v>0</v>
      </c>
      <c r="J46" s="5"/>
    </row>
    <row r="47" spans="1:10" ht="24" thickBot="1">
      <c r="A47" s="13">
        <v>4</v>
      </c>
      <c r="B47" s="14" t="s">
        <v>8</v>
      </c>
      <c r="C47" s="26" t="s">
        <v>37</v>
      </c>
      <c r="D47" s="211">
        <f>'SHEET-4'!D32/'SHEET-4'!D17*10^6</f>
        <v>396186.11339359079</v>
      </c>
      <c r="E47" s="211">
        <f>'SHEET-4'!E32/'SHEET-4'!E17*10^6</f>
        <v>998638.86606409203</v>
      </c>
      <c r="F47" s="46">
        <f>'SHEET-4'!F32/'SHEET-4'!F17*10^6</f>
        <v>411816.77018633531</v>
      </c>
      <c r="G47" s="217">
        <f>'SHEET-4'!G32/'SHEET-4'!G17*10^6</f>
        <v>1317278.1721384206</v>
      </c>
      <c r="H47" s="52">
        <f t="shared" si="6"/>
        <v>-3.795536734861988E-2</v>
      </c>
      <c r="I47" s="93">
        <f t="shared" si="7"/>
        <v>-0.24189219317060523</v>
      </c>
      <c r="J47" s="5"/>
    </row>
    <row r="48" spans="1:10" ht="23.25">
      <c r="A48" s="13">
        <v>5</v>
      </c>
      <c r="B48" s="14" t="s">
        <v>2</v>
      </c>
      <c r="C48" s="26" t="s">
        <v>37</v>
      </c>
      <c r="D48" s="211">
        <f>'SHEET-4'!D33/'SHEET-4'!D18*10^6</f>
        <v>206.5214493099819</v>
      </c>
      <c r="E48" s="211">
        <f>'SHEET-4'!E33/'SHEET-4'!E18*10^6</f>
        <v>873.83534459993268</v>
      </c>
      <c r="F48" s="46">
        <f>'SHEET-4'!F33/'SHEET-4'!F18*10^6</f>
        <v>213.31300108075695</v>
      </c>
      <c r="G48" s="217">
        <f>'SHEET-4'!G33/'SHEET-4'!G18*10^6</f>
        <v>838.01139232670039</v>
      </c>
      <c r="H48" s="52">
        <f t="shared" si="6"/>
        <v>-3.1838433364893073E-2</v>
      </c>
      <c r="I48" s="93">
        <f t="shared" si="7"/>
        <v>4.2748765233093941E-2</v>
      </c>
      <c r="J48" s="5"/>
    </row>
    <row r="49" spans="1:10" ht="18" customHeight="1">
      <c r="A49" s="13">
        <v>6</v>
      </c>
      <c r="B49" s="14" t="s">
        <v>3</v>
      </c>
      <c r="C49" s="26" t="s">
        <v>37</v>
      </c>
      <c r="D49" s="353">
        <f>'SHEET-4'!D34/'SHEET-4'!D19*10^6</f>
        <v>1093.6920197870197</v>
      </c>
      <c r="E49" s="353">
        <f>'SHEET-4'!E34/'SHEET-4'!E19*10^6</f>
        <v>3125.3854224229754</v>
      </c>
      <c r="F49" s="353">
        <f>'SHEET-4'!F34/'SHEET-4'!F19*10^6</f>
        <v>1120.9182865289315</v>
      </c>
      <c r="G49" s="353">
        <f>'SHEET-4'!G34/'SHEET-4'!G19*10^6</f>
        <v>3760.689393767962</v>
      </c>
      <c r="H49" s="354">
        <f t="shared" si="6"/>
        <v>-2.428925200803124E-2</v>
      </c>
      <c r="I49" s="360">
        <f t="shared" si="7"/>
        <v>-0.16893284842874356</v>
      </c>
      <c r="J49" s="5"/>
    </row>
    <row r="50" spans="1:10" ht="18" customHeight="1" thickBot="1">
      <c r="A50" s="13">
        <v>7</v>
      </c>
      <c r="B50" s="14" t="s">
        <v>1</v>
      </c>
      <c r="C50" s="26" t="s">
        <v>37</v>
      </c>
      <c r="D50" s="353"/>
      <c r="E50" s="353"/>
      <c r="F50" s="353"/>
      <c r="G50" s="353"/>
      <c r="H50" s="354"/>
      <c r="I50" s="360"/>
      <c r="J50" s="5"/>
    </row>
    <row r="51" spans="1:10" ht="24" thickBot="1">
      <c r="A51" s="13">
        <v>8</v>
      </c>
      <c r="B51" s="14" t="s">
        <v>9</v>
      </c>
      <c r="C51" s="26" t="s">
        <v>37</v>
      </c>
      <c r="D51" s="211">
        <f>'SHEET-4'!D36/'SHEET-4'!D21*10^6</f>
        <v>3358.9753916790851</v>
      </c>
      <c r="E51" s="211">
        <f>'SHEET-4'!E36/'SHEET-4'!E21*10^6</f>
        <v>10209.432518426034</v>
      </c>
      <c r="F51" s="46">
        <f>'SHEET-4'!F36/'SHEET-4'!F21*10^6</f>
        <v>2823.1550567433687</v>
      </c>
      <c r="G51" s="217">
        <f>'SHEET-4'!G36/'SHEET-4'!G21*10^6</f>
        <v>9125.1175622296068</v>
      </c>
      <c r="H51" s="52">
        <f t="shared" si="6"/>
        <v>0.18979486573217422</v>
      </c>
      <c r="I51" s="93">
        <f t="shared" si="7"/>
        <v>0.11882750537752949</v>
      </c>
      <c r="J51" s="5"/>
    </row>
    <row r="52" spans="1:10" ht="24" thickBot="1">
      <c r="A52" s="13">
        <v>9</v>
      </c>
      <c r="B52" s="14" t="s">
        <v>10</v>
      </c>
      <c r="C52" s="26" t="s">
        <v>37</v>
      </c>
      <c r="D52" s="211">
        <f>'SHEET-4'!D37/'SHEET-4'!D22*10^6</f>
        <v>337.39953366727809</v>
      </c>
      <c r="E52" s="211">
        <f>'SHEET-4'!E37/'SHEET-4'!E22*10^6</f>
        <v>1216.5562460056512</v>
      </c>
      <c r="F52" s="46">
        <f>'SHEET-4'!F37/'SHEET-4'!F22*10^6</f>
        <v>345.07969010851423</v>
      </c>
      <c r="G52" s="217">
        <f>'SHEET-4'!G37/'SHEET-4'!G22*10^6</f>
        <v>1261.1093358722871</v>
      </c>
      <c r="H52" s="52">
        <f t="shared" si="6"/>
        <v>-2.2256182155550863E-2</v>
      </c>
      <c r="I52" s="93">
        <f t="shared" si="7"/>
        <v>-3.5328491035092772E-2</v>
      </c>
      <c r="J52" s="5"/>
    </row>
    <row r="53" spans="1:10" ht="24" thickBot="1">
      <c r="A53" s="13">
        <v>10</v>
      </c>
      <c r="B53" s="14" t="s">
        <v>5</v>
      </c>
      <c r="C53" s="26" t="s">
        <v>37</v>
      </c>
      <c r="D53" s="211">
        <f>'SHEET-4'!D38/'SHEET-4'!D23*10^6</f>
        <v>1975.2067882104</v>
      </c>
      <c r="E53" s="211">
        <f>'SHEET-4'!E38/'SHEET-4'!E23*10^6</f>
        <v>5156.43234231731</v>
      </c>
      <c r="F53" s="46">
        <f>'SHEET-4'!F38/'SHEET-4'!F23*10^6</f>
        <v>1790.6442727808924</v>
      </c>
      <c r="G53" s="217">
        <f>'SHEET-4'!G38/'SHEET-4'!G23*10^6</f>
        <v>4840.217372631434</v>
      </c>
      <c r="H53" s="52">
        <f t="shared" si="6"/>
        <v>0.10307045248182083</v>
      </c>
      <c r="I53" s="93">
        <f t="shared" si="7"/>
        <v>6.5330737308180536E-2</v>
      </c>
      <c r="J53" s="5"/>
    </row>
    <row r="54" spans="1:10" ht="24" thickBot="1">
      <c r="A54" s="13">
        <v>11</v>
      </c>
      <c r="B54" s="14" t="s">
        <v>11</v>
      </c>
      <c r="C54" s="26" t="s">
        <v>37</v>
      </c>
      <c r="D54" s="211">
        <f>'SHEET-4'!D39/'SHEET-4'!D24*10^6</f>
        <v>429.60053158576613</v>
      </c>
      <c r="E54" s="211">
        <f>'SHEET-4'!E39/'SHEET-4'!E24*10^6</f>
        <v>1438.3531068679301</v>
      </c>
      <c r="F54" s="46">
        <f>'SHEET-4'!F39/'SHEET-4'!F24*10^6</f>
        <v>422.95707156323084</v>
      </c>
      <c r="G54" s="217">
        <f>'SHEET-4'!G39/'SHEET-4'!G24*10^6</f>
        <v>1453.9278132944789</v>
      </c>
      <c r="H54" s="52">
        <f t="shared" si="6"/>
        <v>1.5707173302437896E-2</v>
      </c>
      <c r="I54" s="93">
        <f t="shared" si="7"/>
        <v>-1.0712159354911726E-2</v>
      </c>
      <c r="J54" s="5"/>
    </row>
    <row r="55" spans="1:10" ht="24" thickBot="1">
      <c r="A55" s="15"/>
      <c r="B55" s="16" t="s">
        <v>12</v>
      </c>
      <c r="C55" s="27" t="s">
        <v>37</v>
      </c>
      <c r="D55" s="211">
        <f>'SHEET-4'!D40/'SHEET-4'!D25*10^6</f>
        <v>719.14710323079623</v>
      </c>
      <c r="E55" s="211">
        <f>'SHEET-4'!E40/'SHEET-4'!E25*10^6</f>
        <v>2167.9329884000576</v>
      </c>
      <c r="F55" s="126">
        <f>'SHEET-4'!F40/'SHEET-4'!F25*10^6</f>
        <v>708.82292644504162</v>
      </c>
      <c r="G55" s="126">
        <f>'SHEET-4'!G40/'SHEET-4'!G25*10^6</f>
        <v>2368.2566400463656</v>
      </c>
      <c r="H55" s="142">
        <f t="shared" si="6"/>
        <v>1.4565241050446043E-2</v>
      </c>
      <c r="I55" s="143">
        <f>(E55-G55)/G55</f>
        <v>-8.458696927474299E-2</v>
      </c>
      <c r="J55" s="5"/>
    </row>
    <row r="56" spans="1:10" ht="23.25">
      <c r="A56" s="8"/>
      <c r="B56" s="8"/>
      <c r="C56" s="8"/>
      <c r="D56" s="25"/>
      <c r="E56" s="25"/>
      <c r="F56" s="25"/>
      <c r="G56" s="47"/>
      <c r="H56" s="8"/>
      <c r="I56" s="8"/>
      <c r="J56" s="5"/>
    </row>
    <row r="57" spans="1:10">
      <c r="A57" s="5"/>
      <c r="B57" s="5"/>
      <c r="C57" s="5"/>
      <c r="D57" s="5"/>
      <c r="E57" s="5"/>
      <c r="F57" s="5"/>
      <c r="G57" s="5"/>
      <c r="H57" s="5"/>
      <c r="I57" s="5"/>
      <c r="J57" s="5"/>
    </row>
    <row r="58" spans="1:10" ht="12.75" customHeight="1">
      <c r="A58" s="317"/>
      <c r="B58" s="317"/>
      <c r="C58" s="5"/>
      <c r="D58" s="5"/>
      <c r="E58" s="5"/>
      <c r="F58" s="5"/>
      <c r="G58" s="5"/>
      <c r="H58" s="5"/>
      <c r="I58" s="5"/>
      <c r="J58" s="5"/>
    </row>
    <row r="59" spans="1:10">
      <c r="A59" s="5"/>
      <c r="B59" s="5"/>
      <c r="C59" s="5"/>
      <c r="D59" s="5"/>
      <c r="E59" s="5"/>
      <c r="F59" s="5"/>
      <c r="G59" s="5"/>
      <c r="H59" s="5"/>
      <c r="I59" s="5"/>
      <c r="J59" s="5"/>
    </row>
    <row r="60" spans="1:10">
      <c r="A60" s="5"/>
      <c r="B60" s="5"/>
      <c r="C60" s="5"/>
      <c r="D60" s="5"/>
      <c r="E60" s="5"/>
      <c r="F60" s="5"/>
      <c r="G60" s="5"/>
      <c r="H60" s="5"/>
      <c r="I60" s="5"/>
      <c r="J60" s="5"/>
    </row>
    <row r="61" spans="1:10" ht="26.25">
      <c r="A61" s="5"/>
      <c r="B61" s="5"/>
      <c r="C61" s="5"/>
      <c r="D61" s="19"/>
      <c r="E61" s="5"/>
      <c r="F61" s="5"/>
      <c r="G61" s="5"/>
      <c r="H61" s="5"/>
      <c r="I61" s="5"/>
      <c r="J61" s="5"/>
    </row>
    <row r="62" spans="1:10">
      <c r="A62" s="5"/>
      <c r="B62" s="5"/>
      <c r="C62" s="5"/>
      <c r="D62" s="43"/>
      <c r="E62" s="5"/>
      <c r="F62" s="5"/>
      <c r="G62" s="5"/>
      <c r="H62" s="5"/>
      <c r="I62" s="5"/>
      <c r="J62" s="5"/>
    </row>
    <row r="63" spans="1:10" ht="24" thickBot="1">
      <c r="A63" s="5"/>
      <c r="B63" s="9"/>
      <c r="C63" s="5"/>
      <c r="D63" s="5"/>
      <c r="E63" s="5"/>
      <c r="F63" s="18"/>
      <c r="G63" s="5"/>
      <c r="H63" s="5"/>
      <c r="I63" s="5"/>
      <c r="J63" s="5"/>
    </row>
    <row r="64" spans="1:10" ht="23.25">
      <c r="A64" s="12"/>
      <c r="B64" s="17"/>
      <c r="C64" s="4"/>
      <c r="D64" s="28"/>
      <c r="E64" s="28"/>
      <c r="F64" s="28"/>
      <c r="G64" s="28"/>
      <c r="H64" s="5"/>
      <c r="I64" s="5"/>
      <c r="J64" s="5"/>
    </row>
    <row r="65" spans="1:10" ht="23.25">
      <c r="A65" s="13"/>
      <c r="B65" s="14"/>
      <c r="C65" s="26"/>
      <c r="D65" s="28"/>
      <c r="E65" s="28"/>
      <c r="F65" s="28"/>
      <c r="G65" s="28"/>
      <c r="H65" s="5"/>
      <c r="I65" s="5"/>
      <c r="J65" s="5"/>
    </row>
    <row r="66" spans="1:10" ht="23.25">
      <c r="A66" s="13"/>
      <c r="B66" s="14"/>
      <c r="C66" s="26"/>
      <c r="D66" s="28"/>
      <c r="E66" s="28"/>
      <c r="F66" s="28"/>
      <c r="G66" s="28"/>
      <c r="H66" s="5"/>
      <c r="I66" s="5"/>
      <c r="J66" s="5"/>
    </row>
    <row r="67" spans="1:10" ht="23.25">
      <c r="A67" s="13"/>
      <c r="B67" s="14"/>
      <c r="C67" s="26"/>
      <c r="D67" s="28"/>
      <c r="E67" s="28"/>
      <c r="F67" s="28"/>
      <c r="G67" s="28"/>
      <c r="H67" s="5"/>
      <c r="I67" s="5"/>
      <c r="J67" s="5"/>
    </row>
    <row r="68" spans="1:10" ht="23.25">
      <c r="A68" s="13"/>
      <c r="B68" s="14"/>
      <c r="C68" s="26"/>
      <c r="D68" s="44">
        <f>3.8</f>
        <v>3.8</v>
      </c>
      <c r="E68" s="28"/>
      <c r="F68" s="28"/>
      <c r="G68" s="28"/>
      <c r="H68" s="5"/>
      <c r="I68" s="5"/>
      <c r="J68" s="5"/>
    </row>
    <row r="69" spans="1:10" ht="23.25">
      <c r="A69" s="13"/>
      <c r="B69" s="14"/>
      <c r="C69" s="26"/>
      <c r="D69" s="44">
        <v>4.25</v>
      </c>
      <c r="E69" s="28"/>
      <c r="F69" s="28"/>
      <c r="G69" s="28"/>
    </row>
    <row r="70" spans="1:10" ht="23.25">
      <c r="A70" s="13"/>
      <c r="B70" s="14"/>
      <c r="C70" s="26"/>
      <c r="D70" s="44">
        <v>4.55</v>
      </c>
      <c r="E70" s="28"/>
      <c r="F70" s="28"/>
      <c r="G70" s="28"/>
    </row>
    <row r="71" spans="1:10" ht="23.25">
      <c r="A71" s="13"/>
      <c r="B71" s="14"/>
      <c r="C71" s="26"/>
      <c r="D71" s="44">
        <v>4.5999999999999996</v>
      </c>
      <c r="E71" s="28"/>
      <c r="F71" s="28"/>
      <c r="G71" s="28"/>
    </row>
    <row r="72" spans="1:10" ht="23.25">
      <c r="A72" s="13"/>
      <c r="B72" s="14"/>
      <c r="C72" s="26"/>
      <c r="D72" s="28"/>
      <c r="E72" s="28"/>
      <c r="F72" s="28"/>
      <c r="G72" s="28"/>
    </row>
    <row r="73" spans="1:10" ht="23.25">
      <c r="A73" s="13"/>
      <c r="B73" s="14"/>
      <c r="C73" s="26"/>
      <c r="D73" s="28"/>
      <c r="E73" s="28"/>
      <c r="F73" s="28"/>
      <c r="G73" s="28"/>
    </row>
    <row r="74" spans="1:10" ht="23.25">
      <c r="A74" s="13"/>
      <c r="B74" s="14"/>
      <c r="C74" s="26"/>
      <c r="D74" s="28"/>
      <c r="E74" s="28"/>
      <c r="F74" s="28"/>
      <c r="G74" s="28"/>
    </row>
    <row r="75" spans="1:10" ht="24" thickBot="1">
      <c r="A75" s="15"/>
      <c r="B75" s="16"/>
      <c r="C75" s="27"/>
      <c r="D75" s="28"/>
      <c r="E75" s="28"/>
      <c r="F75" s="28"/>
      <c r="G75" s="28"/>
    </row>
    <row r="76" spans="1:10" ht="23.25">
      <c r="D76" s="29"/>
      <c r="E76" s="29"/>
      <c r="F76" s="29"/>
      <c r="G76" s="29"/>
    </row>
  </sheetData>
  <mergeCells count="29">
    <mergeCell ref="D19:D20"/>
    <mergeCell ref="E19:E20"/>
    <mergeCell ref="D34:D35"/>
    <mergeCell ref="E34:E35"/>
    <mergeCell ref="A5:I5"/>
    <mergeCell ref="A9:I9"/>
    <mergeCell ref="A7:I7"/>
    <mergeCell ref="H11:I11"/>
    <mergeCell ref="A58:B58"/>
    <mergeCell ref="H12:H13"/>
    <mergeCell ref="I12:I13"/>
    <mergeCell ref="D13:E13"/>
    <mergeCell ref="D11:E11"/>
    <mergeCell ref="D49:D50"/>
    <mergeCell ref="I49:I50"/>
    <mergeCell ref="H34:H35"/>
    <mergeCell ref="I34:I35"/>
    <mergeCell ref="F19:F20"/>
    <mergeCell ref="G19:G20"/>
    <mergeCell ref="F34:F35"/>
    <mergeCell ref="F11:G11"/>
    <mergeCell ref="H19:H20"/>
    <mergeCell ref="I19:I20"/>
    <mergeCell ref="F13:G13"/>
    <mergeCell ref="E49:E50"/>
    <mergeCell ref="H49:H50"/>
    <mergeCell ref="G34:G35"/>
    <mergeCell ref="F49:F50"/>
    <mergeCell ref="G49:G50"/>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dimension ref="A1:M54"/>
  <sheetViews>
    <sheetView view="pageBreakPreview" zoomScale="60" zoomScaleNormal="60" workbookViewId="0">
      <selection activeCell="D12" sqref="D12"/>
    </sheetView>
  </sheetViews>
  <sheetFormatPr defaultRowHeight="12.75"/>
  <cols>
    <col min="1" max="1" width="8" style="85" customWidth="1"/>
    <col min="2" max="2" width="67" style="85" customWidth="1"/>
    <col min="3" max="3" width="49.5703125" style="85" customWidth="1"/>
    <col min="4" max="4" width="50.42578125" style="85" customWidth="1"/>
    <col min="5" max="5" width="24.7109375" style="85" customWidth="1"/>
    <col min="6" max="10" width="9.140625" style="85"/>
    <col min="11" max="12" width="13" style="85" bestFit="1" customWidth="1"/>
    <col min="13" max="13" width="17.5703125" style="85" bestFit="1" customWidth="1"/>
    <col min="14" max="16384" width="9.140625" style="85"/>
  </cols>
  <sheetData>
    <row r="1" spans="1:8" ht="33">
      <c r="E1" s="86" t="s">
        <v>227</v>
      </c>
    </row>
    <row r="4" spans="1:8" ht="37.5">
      <c r="A4" s="307" t="s">
        <v>0</v>
      </c>
      <c r="B4" s="307"/>
      <c r="C4" s="307"/>
      <c r="D4" s="307"/>
      <c r="E4" s="307"/>
    </row>
    <row r="5" spans="1:8" ht="18" customHeight="1">
      <c r="A5" s="87"/>
      <c r="B5" s="87"/>
      <c r="C5" s="87"/>
    </row>
    <row r="6" spans="1:8" ht="30">
      <c r="A6" s="308" t="s">
        <v>99</v>
      </c>
      <c r="B6" s="308"/>
      <c r="C6" s="308"/>
      <c r="D6" s="308"/>
      <c r="E6" s="308"/>
    </row>
    <row r="7" spans="1:8" ht="18" customHeight="1" thickBot="1"/>
    <row r="8" spans="1:8" ht="18" customHeight="1">
      <c r="A8" s="88"/>
      <c r="B8" s="89"/>
      <c r="C8" s="130" t="s">
        <v>105</v>
      </c>
      <c r="D8" s="130" t="s">
        <v>66</v>
      </c>
      <c r="E8" s="131" t="s">
        <v>17</v>
      </c>
    </row>
    <row r="9" spans="1:8" ht="18" customHeight="1">
      <c r="A9" s="90"/>
      <c r="B9" s="49"/>
      <c r="C9" s="153" t="s">
        <v>238</v>
      </c>
      <c r="D9" s="243" t="s">
        <v>235</v>
      </c>
      <c r="E9" s="30"/>
    </row>
    <row r="10" spans="1:8" ht="20.25">
      <c r="A10" s="90" t="s">
        <v>38</v>
      </c>
      <c r="B10" s="92" t="s">
        <v>84</v>
      </c>
      <c r="C10" s="149" t="s">
        <v>62</v>
      </c>
      <c r="D10" s="154" t="s">
        <v>62</v>
      </c>
      <c r="E10" s="132"/>
    </row>
    <row r="11" spans="1:8" ht="23.25">
      <c r="A11" s="90">
        <v>1</v>
      </c>
      <c r="B11" s="92" t="s">
        <v>85</v>
      </c>
      <c r="C11" s="150">
        <f>468284.08/100-C12</f>
        <v>4572.5108</v>
      </c>
      <c r="D11" s="204">
        <f>499591.198888111/100-D12-6</f>
        <v>4873.4560645861102</v>
      </c>
      <c r="E11" s="171">
        <f>(C11-D11)/D11</f>
        <v>-6.1751919089408816E-2</v>
      </c>
      <c r="H11" s="238"/>
    </row>
    <row r="12" spans="1:8" ht="23.25">
      <c r="A12" s="90">
        <v>2</v>
      </c>
      <c r="B12" s="92" t="s">
        <v>86</v>
      </c>
      <c r="C12" s="150">
        <v>110.33</v>
      </c>
      <c r="D12" s="204">
        <f>8445.5924295/100+32</f>
        <v>116.455924295</v>
      </c>
      <c r="E12" s="171">
        <f>(C12-D12)/D12</f>
        <v>-5.2602942547449419E-2</v>
      </c>
      <c r="F12" s="191"/>
      <c r="G12" s="205"/>
    </row>
    <row r="13" spans="1:8" ht="23.25">
      <c r="A13" s="90">
        <v>3</v>
      </c>
      <c r="B13" s="92" t="s">
        <v>126</v>
      </c>
      <c r="C13" s="150">
        <v>51.2</v>
      </c>
      <c r="D13" s="204">
        <f>5540.59425/100</f>
        <v>55.405942500000002</v>
      </c>
      <c r="E13" s="171">
        <f>(C13-D13)/D13</f>
        <v>-7.5911397049152243E-2</v>
      </c>
    </row>
    <row r="14" spans="1:8" ht="23.25">
      <c r="A14" s="90">
        <v>4</v>
      </c>
      <c r="B14" s="92" t="s">
        <v>87</v>
      </c>
      <c r="C14" s="150">
        <v>116.32</v>
      </c>
      <c r="D14" s="204">
        <f>10636.0585745093/100+6</f>
        <v>112.36058574509299</v>
      </c>
      <c r="E14" s="171">
        <f>(C14-D14)/D14</f>
        <v>3.5238462212092182E-2</v>
      </c>
    </row>
    <row r="15" spans="1:8" ht="23.25">
      <c r="A15" s="90">
        <v>5</v>
      </c>
      <c r="B15" s="92" t="s">
        <v>120</v>
      </c>
      <c r="C15" s="150">
        <f>SUM(C11:C14)</f>
        <v>4850.3607999999995</v>
      </c>
      <c r="D15" s="204">
        <f>SUM(D11:D14)</f>
        <v>5157.6785171262027</v>
      </c>
      <c r="E15" s="171">
        <f>(C15-D15)/D15</f>
        <v>-5.9584504172903938E-2</v>
      </c>
    </row>
    <row r="16" spans="1:8" ht="17.25" customHeight="1">
      <c r="A16" s="90"/>
      <c r="B16" s="92"/>
      <c r="C16" s="150"/>
      <c r="D16" s="204"/>
      <c r="E16" s="152"/>
    </row>
    <row r="17" spans="1:11" ht="23.25" customHeight="1">
      <c r="A17" s="90" t="s">
        <v>6</v>
      </c>
      <c r="B17" s="92" t="s">
        <v>88</v>
      </c>
      <c r="C17" s="155"/>
      <c r="D17" s="155"/>
      <c r="E17" s="152"/>
    </row>
    <row r="18" spans="1:11" ht="23.25">
      <c r="A18" s="90"/>
      <c r="B18" s="92" t="s">
        <v>89</v>
      </c>
      <c r="C18" s="155"/>
      <c r="D18" s="155"/>
      <c r="E18" s="152"/>
      <c r="K18" s="85" t="s">
        <v>128</v>
      </c>
    </row>
    <row r="19" spans="1:11" ht="18" customHeight="1">
      <c r="A19" s="90">
        <v>1</v>
      </c>
      <c r="B19" s="92" t="s">
        <v>109</v>
      </c>
      <c r="C19" s="301">
        <f>4030.45-16</f>
        <v>4014.45</v>
      </c>
      <c r="D19" s="301">
        <f>4406.1-44.15-5.7-2.6</f>
        <v>4353.6500000000005</v>
      </c>
      <c r="E19" s="367">
        <f>(C19-D19)/D19</f>
        <v>-7.7911637361754091E-2</v>
      </c>
    </row>
    <row r="20" spans="1:11" ht="18" customHeight="1">
      <c r="A20" s="90">
        <v>2</v>
      </c>
      <c r="B20" s="92" t="s">
        <v>90</v>
      </c>
      <c r="C20" s="302"/>
      <c r="D20" s="302"/>
      <c r="E20" s="368"/>
    </row>
    <row r="21" spans="1:11" ht="18" customHeight="1">
      <c r="A21" s="90">
        <v>3</v>
      </c>
      <c r="B21" s="92" t="s">
        <v>91</v>
      </c>
      <c r="C21" s="303"/>
      <c r="D21" s="303"/>
      <c r="E21" s="369"/>
    </row>
    <row r="22" spans="1:11" ht="23.25">
      <c r="A22" s="90">
        <v>4</v>
      </c>
      <c r="B22" s="92" t="s">
        <v>92</v>
      </c>
      <c r="C22" s="172"/>
      <c r="D22" s="204"/>
      <c r="E22" s="171">
        <v>0</v>
      </c>
    </row>
    <row r="23" spans="1:11" ht="25.5" customHeight="1">
      <c r="A23" s="90">
        <v>5</v>
      </c>
      <c r="B23" s="92" t="s">
        <v>93</v>
      </c>
      <c r="C23" s="172">
        <v>397.08</v>
      </c>
      <c r="D23" s="204">
        <f>376.98+5.7</f>
        <v>382.68</v>
      </c>
      <c r="E23" s="171">
        <f>(C23-D23)/D23</f>
        <v>3.7629350893697025E-2</v>
      </c>
    </row>
    <row r="24" spans="1:11" ht="23.25">
      <c r="A24" s="90">
        <v>6</v>
      </c>
      <c r="B24" s="92" t="s">
        <v>27</v>
      </c>
      <c r="C24" s="172">
        <v>48.58</v>
      </c>
      <c r="D24" s="204">
        <f>31.89+14.15</f>
        <v>46.04</v>
      </c>
      <c r="E24" s="171">
        <f>(C24-D24)/D24</f>
        <v>5.5169417897480436E-2</v>
      </c>
    </row>
    <row r="25" spans="1:11" ht="23.25">
      <c r="A25" s="90">
        <v>7</v>
      </c>
      <c r="B25" s="92" t="s">
        <v>94</v>
      </c>
      <c r="C25" s="172">
        <v>60.79</v>
      </c>
      <c r="D25" s="204">
        <v>58.69</v>
      </c>
      <c r="E25" s="171">
        <f>(C25-D25)/D25</f>
        <v>3.5781223377065963E-2</v>
      </c>
    </row>
    <row r="26" spans="1:11" ht="23.25">
      <c r="A26" s="90">
        <v>8</v>
      </c>
      <c r="B26" s="92" t="s">
        <v>95</v>
      </c>
      <c r="C26" s="172">
        <v>38.159999999999997</v>
      </c>
      <c r="D26" s="204">
        <f>7.01+30</f>
        <v>37.01</v>
      </c>
      <c r="E26" s="237">
        <f>(C26-D26)/D26</f>
        <v>3.1072683058632766E-2</v>
      </c>
    </row>
    <row r="27" spans="1:11" ht="12.75" customHeight="1">
      <c r="A27" s="90"/>
      <c r="B27" s="92"/>
      <c r="C27" s="172"/>
      <c r="D27" s="204"/>
      <c r="E27" s="152"/>
    </row>
    <row r="28" spans="1:11" ht="23.25">
      <c r="A28" s="90">
        <v>9</v>
      </c>
      <c r="B28" s="92" t="s">
        <v>28</v>
      </c>
      <c r="C28" s="172">
        <v>211.05</v>
      </c>
      <c r="D28" s="204">
        <v>205.08</v>
      </c>
      <c r="E28" s="171">
        <f t="shared" ref="E28:E33" si="0">(C28-D28)/D28</f>
        <v>2.9110590988882381E-2</v>
      </c>
    </row>
    <row r="29" spans="1:11" ht="27" customHeight="1">
      <c r="A29" s="90">
        <v>10</v>
      </c>
      <c r="B29" s="92" t="s">
        <v>26</v>
      </c>
      <c r="C29" s="172">
        <v>49.19</v>
      </c>
      <c r="D29" s="204">
        <f>45.23+2.6</f>
        <v>47.83</v>
      </c>
      <c r="E29" s="171">
        <f t="shared" si="0"/>
        <v>2.8434037215136931E-2</v>
      </c>
    </row>
    <row r="30" spans="1:11" ht="23.25">
      <c r="A30" s="90">
        <v>11</v>
      </c>
      <c r="B30" s="92" t="s">
        <v>96</v>
      </c>
      <c r="C30" s="172">
        <v>0</v>
      </c>
      <c r="D30" s="204">
        <v>0</v>
      </c>
      <c r="E30" s="171"/>
    </row>
    <row r="31" spans="1:11" ht="23.25">
      <c r="A31" s="90">
        <v>12</v>
      </c>
      <c r="B31" s="92" t="s">
        <v>230</v>
      </c>
      <c r="C31" s="172">
        <v>0</v>
      </c>
      <c r="D31" s="204">
        <v>0</v>
      </c>
      <c r="E31" s="171">
        <v>0</v>
      </c>
    </row>
    <row r="32" spans="1:11" ht="23.25">
      <c r="A32" s="90">
        <v>13</v>
      </c>
      <c r="B32" s="92" t="s">
        <v>97</v>
      </c>
      <c r="C32" s="172">
        <v>-39.130000000000003</v>
      </c>
      <c r="D32" s="204">
        <v>-45</v>
      </c>
      <c r="E32" s="171"/>
    </row>
    <row r="33" spans="1:13" ht="23.25">
      <c r="A33" s="90">
        <v>14</v>
      </c>
      <c r="B33" s="92" t="s">
        <v>231</v>
      </c>
      <c r="C33" s="22">
        <f>SUM(C19:C32)</f>
        <v>4780.1699999999992</v>
      </c>
      <c r="D33" s="22">
        <f>SUM(D19:D32)</f>
        <v>5085.9800000000005</v>
      </c>
      <c r="E33" s="171">
        <f t="shared" si="0"/>
        <v>-6.0128038254181351E-2</v>
      </c>
    </row>
    <row r="34" spans="1:13" ht="15" customHeight="1">
      <c r="A34" s="90"/>
      <c r="B34" s="92"/>
      <c r="C34" s="22"/>
      <c r="D34" s="22"/>
      <c r="E34" s="179" t="s">
        <v>232</v>
      </c>
    </row>
    <row r="35" spans="1:13" ht="20.25" customHeight="1">
      <c r="A35" s="90" t="s">
        <v>45</v>
      </c>
      <c r="B35" s="92" t="s">
        <v>98</v>
      </c>
      <c r="C35" s="172">
        <f>C15-C33</f>
        <v>70.190800000000309</v>
      </c>
      <c r="D35" s="204">
        <f>D15-D33</f>
        <v>71.698517126202205</v>
      </c>
      <c r="E35" s="171">
        <f>(C35-D35)/D35</f>
        <v>-2.1028567767280945E-2</v>
      </c>
      <c r="F35" s="97"/>
      <c r="K35" s="133"/>
      <c r="L35" s="133"/>
      <c r="M35" s="134"/>
    </row>
    <row r="36" spans="1:13" ht="23.25">
      <c r="A36" s="90"/>
      <c r="B36" s="92"/>
      <c r="C36" s="20"/>
      <c r="D36" s="20"/>
      <c r="E36" s="139"/>
    </row>
    <row r="37" spans="1:13" ht="23.25" customHeight="1" thickBot="1">
      <c r="A37" s="370" t="s">
        <v>127</v>
      </c>
      <c r="B37" s="371"/>
      <c r="C37" s="371"/>
      <c r="D37" s="371"/>
      <c r="E37" s="372"/>
    </row>
    <row r="40" spans="1:13" ht="12.75" customHeight="1">
      <c r="A40" s="317"/>
      <c r="B40" s="317"/>
    </row>
    <row r="41" spans="1:13">
      <c r="D41" s="97"/>
    </row>
    <row r="44" spans="1:13" ht="20.100000000000001" customHeight="1">
      <c r="C44" s="24"/>
      <c r="D44" s="24"/>
    </row>
    <row r="45" spans="1:13" ht="20.100000000000001" customHeight="1"/>
    <row r="46" spans="1:13" ht="20.100000000000001" customHeight="1"/>
    <row r="47" spans="1:13" ht="20.100000000000001" customHeight="1"/>
    <row r="48" spans="1:13" ht="20.100000000000001" customHeight="1"/>
    <row r="49" spans="3:4" ht="20.100000000000001" customHeight="1">
      <c r="C49" s="24"/>
      <c r="D49" s="135"/>
    </row>
    <row r="50" spans="3:4" ht="20.100000000000001" customHeight="1"/>
    <row r="54" spans="3:4" ht="60" customHeight="1"/>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sheetPr>
    <pageSetUpPr fitToPage="1"/>
  </sheetPr>
  <dimension ref="B1:L32"/>
  <sheetViews>
    <sheetView topLeftCell="A25" zoomScaleSheetLayoutView="115" workbookViewId="0">
      <selection activeCell="B4" sqref="B4:B5"/>
    </sheetView>
  </sheetViews>
  <sheetFormatPr defaultRowHeight="12.75"/>
  <cols>
    <col min="1" max="1" width="1.5703125" style="248" customWidth="1"/>
    <col min="2" max="2" width="9.140625" style="248" customWidth="1"/>
    <col min="3" max="3" width="12.28515625" style="248" customWidth="1"/>
    <col min="4" max="4" width="9.140625" style="248" customWidth="1"/>
    <col min="5" max="5" width="14.7109375" style="248" customWidth="1"/>
    <col min="6" max="6" width="9.140625" style="248" customWidth="1"/>
    <col min="7" max="7" width="2" style="248" customWidth="1"/>
    <col min="8" max="8" width="9.140625" style="248"/>
    <col min="9" max="9" width="14.7109375" style="248" customWidth="1"/>
    <col min="10" max="10" width="9.140625" style="248"/>
    <col min="11" max="11" width="14.5703125" style="248" customWidth="1"/>
    <col min="12" max="12" width="16.42578125" style="248" customWidth="1"/>
    <col min="13" max="16384" width="9.140625" style="248"/>
  </cols>
  <sheetData>
    <row r="1" spans="2:12" ht="24.75" customHeight="1" thickBot="1">
      <c r="B1" s="389" t="s">
        <v>239</v>
      </c>
      <c r="C1" s="390"/>
      <c r="D1" s="390"/>
      <c r="E1" s="390"/>
      <c r="F1" s="390"/>
      <c r="G1" s="390"/>
      <c r="H1" s="390"/>
      <c r="I1" s="390"/>
      <c r="J1" s="390"/>
      <c r="K1" s="390"/>
      <c r="L1" s="391"/>
    </row>
    <row r="2" spans="2:12" ht="5.25" customHeight="1">
      <c r="B2" s="249"/>
      <c r="C2" s="249"/>
      <c r="D2" s="249"/>
      <c r="E2" s="249"/>
      <c r="F2" s="249"/>
      <c r="G2" s="249"/>
      <c r="H2" s="249"/>
      <c r="I2" s="249"/>
      <c r="J2" s="249"/>
      <c r="K2" s="249"/>
      <c r="L2" s="250"/>
    </row>
    <row r="3" spans="2:12" ht="21.75" customHeight="1" thickBot="1">
      <c r="B3" s="392" t="s">
        <v>240</v>
      </c>
      <c r="C3" s="393"/>
      <c r="D3" s="393"/>
      <c r="E3" s="393"/>
      <c r="F3" s="393"/>
      <c r="G3" s="393"/>
      <c r="H3" s="393"/>
      <c r="I3" s="393"/>
      <c r="J3" s="393"/>
      <c r="K3" s="393"/>
      <c r="L3" s="394"/>
    </row>
    <row r="4" spans="2:12" ht="27.75" customHeight="1">
      <c r="B4" s="384" t="s">
        <v>199</v>
      </c>
      <c r="C4" s="385" t="s">
        <v>241</v>
      </c>
      <c r="D4" s="385" t="s">
        <v>242</v>
      </c>
      <c r="E4" s="385"/>
      <c r="F4" s="385"/>
      <c r="G4" s="251"/>
      <c r="H4" s="385" t="s">
        <v>243</v>
      </c>
      <c r="I4" s="385"/>
      <c r="J4" s="385"/>
      <c r="K4" s="385" t="s">
        <v>244</v>
      </c>
      <c r="L4" s="387" t="s">
        <v>245</v>
      </c>
    </row>
    <row r="5" spans="2:12" ht="68.25" customHeight="1">
      <c r="B5" s="373"/>
      <c r="C5" s="386"/>
      <c r="D5" s="252" t="s">
        <v>246</v>
      </c>
      <c r="E5" s="252" t="s">
        <v>247</v>
      </c>
      <c r="F5" s="252" t="s">
        <v>248</v>
      </c>
      <c r="G5" s="253"/>
      <c r="H5" s="252" t="s">
        <v>246</v>
      </c>
      <c r="I5" s="252" t="s">
        <v>249</v>
      </c>
      <c r="J5" s="252" t="s">
        <v>248</v>
      </c>
      <c r="K5" s="386"/>
      <c r="L5" s="388"/>
    </row>
    <row r="6" spans="2:12" s="258" customFormat="1" ht="21" customHeight="1">
      <c r="B6" s="381" t="s">
        <v>250</v>
      </c>
      <c r="C6" s="254" t="s">
        <v>251</v>
      </c>
      <c r="D6" s="255">
        <v>32</v>
      </c>
      <c r="E6" s="254">
        <v>3</v>
      </c>
      <c r="F6" s="256">
        <v>3.45</v>
      </c>
      <c r="G6" s="257"/>
      <c r="H6" s="255">
        <v>33</v>
      </c>
      <c r="I6" s="254">
        <v>0</v>
      </c>
      <c r="J6" s="256">
        <v>1.64</v>
      </c>
      <c r="K6" s="254">
        <v>3</v>
      </c>
      <c r="L6" s="375" t="s">
        <v>252</v>
      </c>
    </row>
    <row r="7" spans="2:12" s="258" customFormat="1" ht="21" customHeight="1">
      <c r="B7" s="382"/>
      <c r="C7" s="254" t="s">
        <v>253</v>
      </c>
      <c r="D7" s="255">
        <v>16</v>
      </c>
      <c r="E7" s="254">
        <v>0</v>
      </c>
      <c r="F7" s="256">
        <v>0.78</v>
      </c>
      <c r="G7" s="257"/>
      <c r="H7" s="255">
        <v>16</v>
      </c>
      <c r="I7" s="254">
        <v>0</v>
      </c>
      <c r="J7" s="256">
        <v>2.33</v>
      </c>
      <c r="K7" s="254">
        <v>0</v>
      </c>
      <c r="L7" s="376"/>
    </row>
    <row r="8" spans="2:12" s="258" customFormat="1" ht="21" customHeight="1">
      <c r="B8" s="382"/>
      <c r="C8" s="254" t="s">
        <v>254</v>
      </c>
      <c r="D8" s="255">
        <v>17</v>
      </c>
      <c r="E8" s="254">
        <v>2</v>
      </c>
      <c r="F8" s="256">
        <v>2.91</v>
      </c>
      <c r="G8" s="257"/>
      <c r="H8" s="255">
        <v>17</v>
      </c>
      <c r="I8" s="254">
        <v>0</v>
      </c>
      <c r="J8" s="256">
        <v>2.95</v>
      </c>
      <c r="K8" s="254">
        <v>2</v>
      </c>
      <c r="L8" s="376"/>
    </row>
    <row r="9" spans="2:12" s="258" customFormat="1" ht="21" customHeight="1">
      <c r="B9" s="382"/>
      <c r="C9" s="254" t="s">
        <v>255</v>
      </c>
      <c r="D9" s="255">
        <v>1</v>
      </c>
      <c r="E9" s="254">
        <v>0</v>
      </c>
      <c r="F9" s="256">
        <v>1.94</v>
      </c>
      <c r="G9" s="257"/>
      <c r="H9" s="255">
        <v>1</v>
      </c>
      <c r="I9" s="254">
        <v>0</v>
      </c>
      <c r="J9" s="256">
        <v>1.99</v>
      </c>
      <c r="K9" s="254">
        <v>0</v>
      </c>
      <c r="L9" s="376"/>
    </row>
    <row r="10" spans="2:12" s="258" customFormat="1" ht="21" customHeight="1">
      <c r="B10" s="382"/>
      <c r="C10" s="254" t="s">
        <v>256</v>
      </c>
      <c r="D10" s="255">
        <v>16</v>
      </c>
      <c r="E10" s="254">
        <v>0</v>
      </c>
      <c r="F10" s="256">
        <v>-0.08</v>
      </c>
      <c r="G10" s="257"/>
      <c r="H10" s="255">
        <v>16</v>
      </c>
      <c r="I10" s="254">
        <v>1</v>
      </c>
      <c r="J10" s="256">
        <v>0.5</v>
      </c>
      <c r="K10" s="254">
        <v>0</v>
      </c>
      <c r="L10" s="376"/>
    </row>
    <row r="11" spans="2:12" s="258" customFormat="1" ht="21" customHeight="1">
      <c r="B11" s="382"/>
      <c r="C11" s="259" t="s">
        <v>257</v>
      </c>
      <c r="D11" s="260">
        <f>SUM(D6:D10)</f>
        <v>82</v>
      </c>
      <c r="E11" s="260">
        <f>SUM(E6:E10)</f>
        <v>5</v>
      </c>
      <c r="F11" s="261">
        <v>2.17</v>
      </c>
      <c r="G11" s="253"/>
      <c r="H11" s="260">
        <v>83</v>
      </c>
      <c r="I11" s="260">
        <v>1</v>
      </c>
      <c r="J11" s="261">
        <v>1.67</v>
      </c>
      <c r="K11" s="260">
        <f>SUM(K6:K10)</f>
        <v>5</v>
      </c>
      <c r="L11" s="376"/>
    </row>
    <row r="12" spans="2:12" s="264" customFormat="1" ht="21" customHeight="1" thickBot="1">
      <c r="B12" s="383"/>
      <c r="C12" s="262"/>
      <c r="D12" s="378"/>
      <c r="E12" s="379"/>
      <c r="F12" s="380"/>
      <c r="G12" s="263"/>
      <c r="H12" s="378"/>
      <c r="I12" s="379"/>
      <c r="J12" s="380"/>
      <c r="K12" s="263"/>
      <c r="L12" s="377"/>
    </row>
    <row r="13" spans="2:12" s="258" customFormat="1" ht="27.75" customHeight="1">
      <c r="B13" s="384" t="s">
        <v>199</v>
      </c>
      <c r="C13" s="385" t="s">
        <v>241</v>
      </c>
      <c r="D13" s="385" t="str">
        <f>D4</f>
        <v>Q-III- Sep-20 to Dec-20</v>
      </c>
      <c r="E13" s="385"/>
      <c r="F13" s="385"/>
      <c r="G13" s="251"/>
      <c r="H13" s="385" t="str">
        <f>H4</f>
        <v>Q-III- Sep-19 to Dec-19</v>
      </c>
      <c r="I13" s="385"/>
      <c r="J13" s="385"/>
      <c r="K13" s="385" t="s">
        <v>258</v>
      </c>
      <c r="L13" s="387" t="s">
        <v>245</v>
      </c>
    </row>
    <row r="14" spans="2:12" ht="79.5" customHeight="1">
      <c r="B14" s="373"/>
      <c r="C14" s="386"/>
      <c r="D14" s="252" t="s">
        <v>246</v>
      </c>
      <c r="E14" s="252" t="s">
        <v>259</v>
      </c>
      <c r="F14" s="252" t="s">
        <v>248</v>
      </c>
      <c r="G14" s="253"/>
      <c r="H14" s="252" t="s">
        <v>246</v>
      </c>
      <c r="I14" s="252" t="s">
        <v>260</v>
      </c>
      <c r="J14" s="252" t="s">
        <v>248</v>
      </c>
      <c r="K14" s="386"/>
      <c r="L14" s="388"/>
    </row>
    <row r="15" spans="2:12" s="258" customFormat="1" ht="21" customHeight="1">
      <c r="B15" s="381" t="s">
        <v>261</v>
      </c>
      <c r="C15" s="254" t="s">
        <v>251</v>
      </c>
      <c r="D15" s="255">
        <v>19</v>
      </c>
      <c r="E15" s="254">
        <v>0</v>
      </c>
      <c r="F15" s="256">
        <v>6.92</v>
      </c>
      <c r="G15" s="257"/>
      <c r="H15" s="255">
        <v>20</v>
      </c>
      <c r="I15" s="254">
        <v>0</v>
      </c>
      <c r="J15" s="256">
        <v>7.26</v>
      </c>
      <c r="K15" s="254">
        <v>0</v>
      </c>
      <c r="L15" s="375" t="s">
        <v>252</v>
      </c>
    </row>
    <row r="16" spans="2:12" s="258" customFormat="1" ht="21" customHeight="1">
      <c r="B16" s="382"/>
      <c r="C16" s="254" t="s">
        <v>253</v>
      </c>
      <c r="D16" s="255">
        <v>255</v>
      </c>
      <c r="E16" s="254">
        <v>0</v>
      </c>
      <c r="F16" s="256">
        <v>5.19</v>
      </c>
      <c r="G16" s="257"/>
      <c r="H16" s="255">
        <v>250</v>
      </c>
      <c r="I16" s="254">
        <v>0</v>
      </c>
      <c r="J16" s="256">
        <v>5.0999999999999996</v>
      </c>
      <c r="K16" s="254">
        <v>0</v>
      </c>
      <c r="L16" s="376"/>
    </row>
    <row r="17" spans="2:12" s="258" customFormat="1" ht="21" customHeight="1">
      <c r="B17" s="382"/>
      <c r="C17" s="254" t="s">
        <v>254</v>
      </c>
      <c r="D17" s="255">
        <v>46</v>
      </c>
      <c r="E17" s="254">
        <v>0</v>
      </c>
      <c r="F17" s="256">
        <v>6.66</v>
      </c>
      <c r="G17" s="257"/>
      <c r="H17" s="255">
        <v>49</v>
      </c>
      <c r="I17" s="254">
        <v>0</v>
      </c>
      <c r="J17" s="256">
        <v>6.28</v>
      </c>
      <c r="K17" s="254">
        <v>0</v>
      </c>
      <c r="L17" s="376"/>
    </row>
    <row r="18" spans="2:12" s="258" customFormat="1" ht="21" customHeight="1">
      <c r="B18" s="382"/>
      <c r="C18" s="254" t="s">
        <v>255</v>
      </c>
      <c r="D18" s="255">
        <v>36</v>
      </c>
      <c r="E18" s="254">
        <v>0</v>
      </c>
      <c r="F18" s="256">
        <v>8.24</v>
      </c>
      <c r="G18" s="257"/>
      <c r="H18" s="255">
        <v>35</v>
      </c>
      <c r="I18" s="254">
        <v>0</v>
      </c>
      <c r="J18" s="256">
        <v>6.42</v>
      </c>
      <c r="K18" s="254">
        <v>0</v>
      </c>
      <c r="L18" s="376"/>
    </row>
    <row r="19" spans="2:12" s="258" customFormat="1" ht="21" customHeight="1">
      <c r="B19" s="382"/>
      <c r="C19" s="254" t="s">
        <v>256</v>
      </c>
      <c r="D19" s="255">
        <v>46</v>
      </c>
      <c r="E19" s="254">
        <v>8</v>
      </c>
      <c r="F19" s="256">
        <v>19.89</v>
      </c>
      <c r="G19" s="257"/>
      <c r="H19" s="255">
        <v>45</v>
      </c>
      <c r="I19" s="254" t="s">
        <v>262</v>
      </c>
      <c r="J19" s="256">
        <v>18.760000000000002</v>
      </c>
      <c r="K19" s="254">
        <v>7</v>
      </c>
      <c r="L19" s="376"/>
    </row>
    <row r="20" spans="2:12" s="258" customFormat="1" ht="21" customHeight="1">
      <c r="B20" s="382"/>
      <c r="C20" s="265" t="s">
        <v>257</v>
      </c>
      <c r="D20" s="260">
        <f>SUM(D15:D19)</f>
        <v>402</v>
      </c>
      <c r="E20" s="252">
        <f>SUM(E15:E19)</f>
        <v>8</v>
      </c>
      <c r="F20" s="266">
        <v>7.72</v>
      </c>
      <c r="G20" s="253"/>
      <c r="H20" s="252">
        <v>399</v>
      </c>
      <c r="I20" s="252" t="s">
        <v>262</v>
      </c>
      <c r="J20" s="266">
        <v>7.22</v>
      </c>
      <c r="K20" s="252">
        <f>SUM(K15:K19)</f>
        <v>7</v>
      </c>
      <c r="L20" s="376"/>
    </row>
    <row r="21" spans="2:12" s="264" customFormat="1" ht="21" customHeight="1" thickBot="1">
      <c r="B21" s="383"/>
      <c r="C21" s="267"/>
      <c r="D21" s="378"/>
      <c r="E21" s="379"/>
      <c r="F21" s="380"/>
      <c r="G21" s="268"/>
      <c r="H21" s="378" t="s">
        <v>263</v>
      </c>
      <c r="I21" s="379"/>
      <c r="J21" s="380"/>
      <c r="K21" s="263"/>
      <c r="L21" s="377"/>
    </row>
    <row r="22" spans="2:12" s="258" customFormat="1" ht="27.75" customHeight="1">
      <c r="B22" s="384" t="s">
        <v>199</v>
      </c>
      <c r="C22" s="385" t="s">
        <v>241</v>
      </c>
      <c r="D22" s="385" t="str">
        <f>D13</f>
        <v>Q-III- Sep-20 to Dec-20</v>
      </c>
      <c r="E22" s="385"/>
      <c r="F22" s="385"/>
      <c r="G22" s="251"/>
      <c r="H22" s="385" t="str">
        <f>H13</f>
        <v>Q-III- Sep-19 to Dec-19</v>
      </c>
      <c r="I22" s="385"/>
      <c r="J22" s="385"/>
      <c r="K22" s="385" t="s">
        <v>264</v>
      </c>
      <c r="L22" s="387" t="s">
        <v>245</v>
      </c>
    </row>
    <row r="23" spans="2:12" ht="79.5" customHeight="1">
      <c r="B23" s="373"/>
      <c r="C23" s="386"/>
      <c r="D23" s="252" t="s">
        <v>246</v>
      </c>
      <c r="E23" s="252" t="s">
        <v>265</v>
      </c>
      <c r="F23" s="252" t="s">
        <v>248</v>
      </c>
      <c r="G23" s="253"/>
      <c r="H23" s="252" t="s">
        <v>246</v>
      </c>
      <c r="I23" s="252" t="s">
        <v>265</v>
      </c>
      <c r="J23" s="252" t="s">
        <v>248</v>
      </c>
      <c r="K23" s="386"/>
      <c r="L23" s="388"/>
    </row>
    <row r="24" spans="2:12" s="258" customFormat="1" ht="21" customHeight="1">
      <c r="B24" s="373" t="s">
        <v>266</v>
      </c>
      <c r="C24" s="254" t="s">
        <v>251</v>
      </c>
      <c r="D24" s="255">
        <v>54</v>
      </c>
      <c r="E24" s="254">
        <v>0</v>
      </c>
      <c r="F24" s="256">
        <v>3.93</v>
      </c>
      <c r="G24" s="257"/>
      <c r="H24" s="255">
        <v>51</v>
      </c>
      <c r="I24" s="254">
        <v>0</v>
      </c>
      <c r="J24" s="256">
        <v>2.68</v>
      </c>
      <c r="K24" s="254">
        <v>0</v>
      </c>
      <c r="L24" s="375" t="s">
        <v>252</v>
      </c>
    </row>
    <row r="25" spans="2:12" s="258" customFormat="1" ht="21" customHeight="1">
      <c r="B25" s="373"/>
      <c r="C25" s="254" t="s">
        <v>253</v>
      </c>
      <c r="D25" s="255">
        <v>3</v>
      </c>
      <c r="E25" s="254">
        <v>0</v>
      </c>
      <c r="F25" s="256">
        <v>0.45</v>
      </c>
      <c r="G25" s="257"/>
      <c r="H25" s="255">
        <v>3</v>
      </c>
      <c r="I25" s="254">
        <v>0</v>
      </c>
      <c r="J25" s="256">
        <v>1.55</v>
      </c>
      <c r="K25" s="254">
        <v>0</v>
      </c>
      <c r="L25" s="376"/>
    </row>
    <row r="26" spans="2:12" s="258" customFormat="1" ht="21" customHeight="1">
      <c r="B26" s="373"/>
      <c r="C26" s="254" t="s">
        <v>254</v>
      </c>
      <c r="D26" s="255">
        <v>5</v>
      </c>
      <c r="E26" s="254">
        <v>0</v>
      </c>
      <c r="F26" s="256">
        <v>2.2599999999999998</v>
      </c>
      <c r="G26" s="257"/>
      <c r="H26" s="255">
        <v>5</v>
      </c>
      <c r="I26" s="254">
        <v>0</v>
      </c>
      <c r="J26" s="256">
        <v>2.2799999999999998</v>
      </c>
      <c r="K26" s="254">
        <v>0</v>
      </c>
      <c r="L26" s="376"/>
    </row>
    <row r="27" spans="2:12" s="258" customFormat="1" ht="21" customHeight="1">
      <c r="B27" s="373"/>
      <c r="C27" s="254" t="s">
        <v>255</v>
      </c>
      <c r="D27" s="255">
        <v>12</v>
      </c>
      <c r="E27" s="254">
        <v>0</v>
      </c>
      <c r="F27" s="256">
        <v>5</v>
      </c>
      <c r="G27" s="257"/>
      <c r="H27" s="255">
        <v>12</v>
      </c>
      <c r="I27" s="254" t="s">
        <v>267</v>
      </c>
      <c r="J27" s="256">
        <v>2.19</v>
      </c>
      <c r="K27" s="254">
        <v>0</v>
      </c>
      <c r="L27" s="376"/>
    </row>
    <row r="28" spans="2:12" s="258" customFormat="1" ht="21" customHeight="1">
      <c r="B28" s="373"/>
      <c r="C28" s="254" t="s">
        <v>256</v>
      </c>
      <c r="D28" s="254">
        <v>39</v>
      </c>
      <c r="E28" s="254">
        <v>0</v>
      </c>
      <c r="F28" s="256">
        <v>-2.12</v>
      </c>
      <c r="G28" s="253"/>
      <c r="H28" s="254">
        <v>38</v>
      </c>
      <c r="I28" s="254" t="s">
        <v>267</v>
      </c>
      <c r="J28" s="256">
        <v>-0.96</v>
      </c>
      <c r="K28" s="254">
        <v>0</v>
      </c>
      <c r="L28" s="376"/>
    </row>
    <row r="29" spans="2:12" s="258" customFormat="1" ht="21" customHeight="1">
      <c r="B29" s="373"/>
      <c r="C29" s="265" t="s">
        <v>257</v>
      </c>
      <c r="D29" s="260">
        <f>SUM(D24:D28)</f>
        <v>113</v>
      </c>
      <c r="E29" s="252">
        <f>SUM(E24:E28)</f>
        <v>0</v>
      </c>
      <c r="F29" s="266">
        <v>2.06</v>
      </c>
      <c r="G29" s="269"/>
      <c r="H29" s="252">
        <v>109</v>
      </c>
      <c r="I29" s="252" t="s">
        <v>268</v>
      </c>
      <c r="J29" s="266">
        <v>1.56</v>
      </c>
      <c r="K29" s="252">
        <f>SUM(K24:K28)</f>
        <v>0</v>
      </c>
      <c r="L29" s="376"/>
    </row>
    <row r="30" spans="2:12" s="264" customFormat="1" ht="21" customHeight="1" thickBot="1">
      <c r="B30" s="374"/>
      <c r="C30" s="270"/>
      <c r="D30" s="378"/>
      <c r="E30" s="379"/>
      <c r="F30" s="380"/>
      <c r="G30" s="268"/>
      <c r="H30" s="378" t="s">
        <v>263</v>
      </c>
      <c r="I30" s="379"/>
      <c r="J30" s="380"/>
      <c r="K30" s="263"/>
      <c r="L30" s="377"/>
    </row>
    <row r="31" spans="2:12" ht="62.25" customHeight="1">
      <c r="B31" s="271"/>
      <c r="C31" s="272"/>
      <c r="D31" s="272"/>
      <c r="E31" s="272"/>
      <c r="F31" s="272"/>
      <c r="G31" s="272"/>
      <c r="H31" s="272"/>
      <c r="I31" s="272"/>
      <c r="J31" s="272"/>
      <c r="K31" s="272"/>
      <c r="L31" s="272"/>
    </row>
    <row r="32" spans="2:12" ht="86.25" customHeight="1"/>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dimension ref="B1:S14"/>
  <sheetViews>
    <sheetView tabSelected="1" zoomScaleSheetLayoutView="115" workbookViewId="0">
      <selection activeCell="N7" sqref="N7"/>
    </sheetView>
  </sheetViews>
  <sheetFormatPr defaultRowHeight="12.75"/>
  <cols>
    <col min="1" max="1" width="1.85546875" style="273" customWidth="1"/>
    <col min="2" max="2" width="4.7109375" style="273" customWidth="1"/>
    <col min="3" max="3" width="25.85546875" style="300" customWidth="1"/>
    <col min="4" max="4" width="5" style="273" customWidth="1"/>
    <col min="5" max="5" width="15.28515625" style="273" customWidth="1"/>
    <col min="6" max="6" width="19" style="273" customWidth="1"/>
    <col min="7" max="7" width="15.28515625" style="273" customWidth="1"/>
    <col min="8" max="8" width="15.85546875" style="273" customWidth="1"/>
    <col min="9" max="9" width="18.5703125" style="273" customWidth="1"/>
    <col min="10" max="12" width="12.5703125" style="273" customWidth="1"/>
    <col min="13" max="13" width="3" style="273" customWidth="1"/>
    <col min="14" max="17" width="12.5703125" style="273" customWidth="1"/>
    <col min="18" max="18" width="2.7109375" style="273" customWidth="1"/>
    <col min="19" max="22" width="12.5703125" style="273" customWidth="1"/>
    <col min="23" max="16384" width="9.140625" style="273"/>
  </cols>
  <sheetData>
    <row r="1" spans="2:19" ht="39" customHeight="1">
      <c r="B1" s="403" t="s">
        <v>269</v>
      </c>
      <c r="C1" s="403"/>
      <c r="D1" s="403"/>
      <c r="E1" s="403"/>
      <c r="F1" s="403"/>
      <c r="G1" s="403"/>
      <c r="H1" s="403"/>
      <c r="I1" s="403"/>
    </row>
    <row r="2" spans="2:19" ht="30.75" customHeight="1">
      <c r="B2" s="274" t="s">
        <v>270</v>
      </c>
      <c r="C2" s="275"/>
      <c r="D2" s="275"/>
      <c r="E2" s="275"/>
      <c r="F2" s="275"/>
      <c r="H2" s="275"/>
      <c r="I2" s="276" t="s">
        <v>271</v>
      </c>
    </row>
    <row r="3" spans="2:19" ht="33" customHeight="1" thickBot="1">
      <c r="B3" s="404" t="s">
        <v>272</v>
      </c>
      <c r="C3" s="404"/>
      <c r="D3" s="404"/>
      <c r="E3" s="404"/>
      <c r="F3" s="404"/>
      <c r="G3" s="404"/>
      <c r="H3" s="404"/>
      <c r="I3" s="404"/>
    </row>
    <row r="4" spans="2:19" ht="48.75" customHeight="1">
      <c r="B4" s="395" t="s">
        <v>273</v>
      </c>
      <c r="C4" s="398" t="s">
        <v>274</v>
      </c>
      <c r="D4" s="399"/>
      <c r="E4" s="277" t="s">
        <v>275</v>
      </c>
      <c r="F4" s="405" t="s">
        <v>276</v>
      </c>
      <c r="G4" s="405"/>
      <c r="H4" s="405" t="s">
        <v>277</v>
      </c>
      <c r="I4" s="406"/>
      <c r="L4" s="278"/>
    </row>
    <row r="5" spans="2:19" ht="25.5" customHeight="1">
      <c r="B5" s="396"/>
      <c r="C5" s="279" t="s">
        <v>278</v>
      </c>
      <c r="D5" s="280" t="s">
        <v>279</v>
      </c>
      <c r="E5" s="281"/>
      <c r="F5" s="407">
        <v>58015</v>
      </c>
      <c r="G5" s="407"/>
      <c r="H5" s="408">
        <v>145932</v>
      </c>
      <c r="I5" s="409"/>
      <c r="K5" s="282"/>
      <c r="L5" s="283"/>
      <c r="M5" s="283"/>
    </row>
    <row r="6" spans="2:19" ht="25.5" customHeight="1">
      <c r="B6" s="396"/>
      <c r="C6" s="279" t="s">
        <v>280</v>
      </c>
      <c r="D6" s="280" t="s">
        <v>279</v>
      </c>
      <c r="E6" s="281"/>
      <c r="F6" s="407">
        <v>16639</v>
      </c>
      <c r="G6" s="407"/>
      <c r="H6" s="408">
        <v>21473</v>
      </c>
      <c r="I6" s="409"/>
      <c r="K6" s="282"/>
      <c r="L6" s="283"/>
      <c r="M6" s="283"/>
    </row>
    <row r="7" spans="2:19" ht="25.5" customHeight="1" thickBot="1">
      <c r="B7" s="397"/>
      <c r="C7" s="284" t="s">
        <v>257</v>
      </c>
      <c r="D7" s="285" t="s">
        <v>279</v>
      </c>
      <c r="E7" s="286"/>
      <c r="F7" s="410">
        <f>SUM(F5:F6)</f>
        <v>74654</v>
      </c>
      <c r="G7" s="410"/>
      <c r="H7" s="411">
        <f>SUM(H5:H6)</f>
        <v>167405</v>
      </c>
      <c r="I7" s="412"/>
      <c r="K7" s="287"/>
    </row>
    <row r="8" spans="2:19" s="289" customFormat="1" ht="48.75" customHeight="1">
      <c r="B8" s="395" t="s">
        <v>281</v>
      </c>
      <c r="C8" s="398" t="s">
        <v>282</v>
      </c>
      <c r="D8" s="399"/>
      <c r="E8" s="277" t="s">
        <v>283</v>
      </c>
      <c r="F8" s="277" t="s">
        <v>284</v>
      </c>
      <c r="G8" s="277" t="s">
        <v>285</v>
      </c>
      <c r="H8" s="277" t="s">
        <v>286</v>
      </c>
      <c r="I8" s="288" t="s">
        <v>287</v>
      </c>
      <c r="K8" s="273"/>
      <c r="L8" s="290"/>
      <c r="M8" s="290"/>
    </row>
    <row r="9" spans="2:19" ht="25.5" customHeight="1">
      <c r="B9" s="396"/>
      <c r="C9" s="279" t="s">
        <v>278</v>
      </c>
      <c r="D9" s="280" t="s">
        <v>279</v>
      </c>
      <c r="E9" s="291">
        <v>2915</v>
      </c>
      <c r="F9" s="292">
        <v>27892</v>
      </c>
      <c r="G9" s="292">
        <f>F9+E9</f>
        <v>30807</v>
      </c>
      <c r="H9" s="292">
        <v>29574</v>
      </c>
      <c r="I9" s="293">
        <f>G9-H9</f>
        <v>1233</v>
      </c>
      <c r="L9" s="283"/>
    </row>
    <row r="10" spans="2:19" ht="25.5" customHeight="1">
      <c r="B10" s="396"/>
      <c r="C10" s="279" t="s">
        <v>280</v>
      </c>
      <c r="D10" s="280" t="s">
        <v>279</v>
      </c>
      <c r="E10" s="291">
        <v>401</v>
      </c>
      <c r="F10" s="292">
        <v>4054</v>
      </c>
      <c r="G10" s="292">
        <f>F10+E10</f>
        <v>4455</v>
      </c>
      <c r="H10" s="292">
        <v>4286</v>
      </c>
      <c r="I10" s="293">
        <f>G10-H10</f>
        <v>169</v>
      </c>
      <c r="L10" s="283"/>
    </row>
    <row r="11" spans="2:19" ht="25.5" customHeight="1" thickBot="1">
      <c r="B11" s="397"/>
      <c r="C11" s="284" t="s">
        <v>257</v>
      </c>
      <c r="D11" s="285" t="s">
        <v>279</v>
      </c>
      <c r="E11" s="294">
        <f>E9+E10</f>
        <v>3316</v>
      </c>
      <c r="F11" s="294">
        <f>F9+F10</f>
        <v>31946</v>
      </c>
      <c r="G11" s="294">
        <f t="shared" ref="G11:I11" si="0">SUM(G9:G10)</f>
        <v>35262</v>
      </c>
      <c r="H11" s="294">
        <f t="shared" si="0"/>
        <v>33860</v>
      </c>
      <c r="I11" s="295">
        <f t="shared" si="0"/>
        <v>1402</v>
      </c>
    </row>
    <row r="12" spans="2:19" s="296" customFormat="1" ht="50.25" customHeight="1" thickBot="1">
      <c r="B12" s="400" t="s">
        <v>288</v>
      </c>
      <c r="C12" s="401"/>
      <c r="D12" s="401"/>
      <c r="E12" s="401"/>
      <c r="F12" s="401"/>
      <c r="G12" s="401"/>
      <c r="H12" s="401"/>
      <c r="I12" s="402"/>
    </row>
    <row r="13" spans="2:19" s="296" customFormat="1" ht="30" customHeight="1">
      <c r="B13" s="297"/>
      <c r="C13" s="297"/>
      <c r="D13" s="297"/>
      <c r="E13" s="297"/>
      <c r="F13" s="297"/>
      <c r="G13" s="297"/>
      <c r="H13" s="297"/>
      <c r="I13" s="297"/>
    </row>
    <row r="14" spans="2:19" s="289" customFormat="1">
      <c r="C14" s="298"/>
      <c r="N14" s="299"/>
      <c r="S14" s="299"/>
    </row>
  </sheetData>
  <mergeCells count="15">
    <mergeCell ref="B8:B11"/>
    <mergeCell ref="C8:D8"/>
    <mergeCell ref="B12:I12"/>
    <mergeCell ref="B1:I1"/>
    <mergeCell ref="B3:I3"/>
    <mergeCell ref="B4:B7"/>
    <mergeCell ref="C4:D4"/>
    <mergeCell ref="F4:G4"/>
    <mergeCell ref="H4:I4"/>
    <mergeCell ref="F5:G5"/>
    <mergeCell ref="H5:I5"/>
    <mergeCell ref="F6:G6"/>
    <mergeCell ref="H6:I6"/>
    <mergeCell ref="F7:G7"/>
    <mergeCell ref="H7:I7"/>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dimension ref="A1:M110"/>
  <sheetViews>
    <sheetView topLeftCell="A55" workbookViewId="0">
      <selection activeCell="E69" sqref="E69"/>
    </sheetView>
  </sheetViews>
  <sheetFormatPr defaultRowHeight="15" customHeight="1"/>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c r="A1" s="31" t="s">
        <v>129</v>
      </c>
      <c r="B1" s="31" t="s">
        <v>130</v>
      </c>
      <c r="C1" s="32" t="s">
        <v>131</v>
      </c>
      <c r="D1" s="32" t="s">
        <v>132</v>
      </c>
      <c r="E1" s="32" t="s">
        <v>133</v>
      </c>
      <c r="F1" s="32" t="s">
        <v>134</v>
      </c>
      <c r="G1" s="32" t="s">
        <v>135</v>
      </c>
      <c r="H1" s="32" t="s">
        <v>136</v>
      </c>
      <c r="I1" s="32" t="s">
        <v>137</v>
      </c>
      <c r="J1" s="32" t="s">
        <v>138</v>
      </c>
      <c r="K1" s="32" t="s">
        <v>139</v>
      </c>
    </row>
    <row r="2" spans="1:11" ht="15" customHeight="1">
      <c r="A2" s="33" t="s">
        <v>140</v>
      </c>
      <c r="B2" s="33"/>
      <c r="C2" s="33"/>
      <c r="D2" s="33"/>
      <c r="E2" s="33"/>
      <c r="F2" s="33"/>
      <c r="G2" s="33"/>
      <c r="H2" s="33"/>
      <c r="I2" s="33"/>
      <c r="J2" s="33"/>
      <c r="K2" s="33"/>
    </row>
    <row r="3" spans="1:11" ht="15" customHeight="1">
      <c r="A3" s="34">
        <v>1</v>
      </c>
      <c r="B3" s="34" t="s">
        <v>2</v>
      </c>
      <c r="C3" s="35">
        <v>3116069269.4099998</v>
      </c>
      <c r="D3" s="35">
        <v>17043896.82</v>
      </c>
      <c r="E3" s="35">
        <v>172650.77</v>
      </c>
      <c r="F3" s="35">
        <v>343600985.27999997</v>
      </c>
      <c r="G3" s="35">
        <v>0</v>
      </c>
      <c r="H3" s="35">
        <v>73554896.5</v>
      </c>
      <c r="I3" s="35">
        <v>227109.15</v>
      </c>
      <c r="J3" s="35">
        <v>18633312.23</v>
      </c>
      <c r="K3" s="35">
        <v>3569302120.1599998</v>
      </c>
    </row>
    <row r="4" spans="1:11" ht="15" customHeight="1">
      <c r="A4" s="34">
        <v>2</v>
      </c>
      <c r="B4" s="34" t="s">
        <v>141</v>
      </c>
      <c r="C4" s="35">
        <v>71089139.950000003</v>
      </c>
      <c r="D4" s="35">
        <v>101753.87</v>
      </c>
      <c r="E4" s="35">
        <v>17040</v>
      </c>
      <c r="F4" s="35">
        <v>7364652.4699999997</v>
      </c>
      <c r="G4" s="35">
        <v>0</v>
      </c>
      <c r="H4" s="35">
        <v>748929.5</v>
      </c>
      <c r="I4" s="35">
        <v>23532.400000000001</v>
      </c>
      <c r="J4" s="35">
        <v>453786.14</v>
      </c>
      <c r="K4" s="35">
        <v>79798834.329999998</v>
      </c>
    </row>
    <row r="5" spans="1:11" ht="15" customHeight="1">
      <c r="A5" s="34">
        <v>3</v>
      </c>
      <c r="B5" s="34" t="s">
        <v>142</v>
      </c>
      <c r="C5" s="35">
        <v>2127392756.0799999</v>
      </c>
      <c r="D5" s="35">
        <v>10987310.15</v>
      </c>
      <c r="E5" s="35">
        <v>55383.85</v>
      </c>
      <c r="F5" s="35">
        <v>335242088.61000001</v>
      </c>
      <c r="G5" s="35">
        <v>0</v>
      </c>
      <c r="H5" s="35">
        <v>15904544</v>
      </c>
      <c r="I5" s="35">
        <v>285434.14</v>
      </c>
      <c r="J5" s="35">
        <v>5771228.1399999997</v>
      </c>
      <c r="K5" s="35">
        <v>2495638744.9699998</v>
      </c>
    </row>
    <row r="6" spans="1:11" ht="15" customHeight="1">
      <c r="A6" s="34"/>
      <c r="B6" s="34" t="s">
        <v>143</v>
      </c>
      <c r="C6" s="35">
        <v>78023457.159999996</v>
      </c>
      <c r="D6" s="35">
        <v>0</v>
      </c>
      <c r="E6" s="35">
        <v>0</v>
      </c>
      <c r="F6" s="35">
        <v>19271785.379999999</v>
      </c>
      <c r="G6" s="35">
        <v>0</v>
      </c>
      <c r="H6" s="35">
        <v>469841</v>
      </c>
      <c r="I6" s="35">
        <v>303675.78000000003</v>
      </c>
      <c r="J6" s="35">
        <v>245968.69</v>
      </c>
      <c r="K6" s="35">
        <v>98314728.010000005</v>
      </c>
    </row>
    <row r="7" spans="1:11" ht="15" customHeight="1">
      <c r="A7" s="34"/>
      <c r="B7" s="34" t="s">
        <v>144</v>
      </c>
      <c r="C7" s="35">
        <v>2205416213.2399998</v>
      </c>
      <c r="D7" s="35">
        <v>10987310.15</v>
      </c>
      <c r="E7" s="35">
        <v>55383.85</v>
      </c>
      <c r="F7" s="35">
        <v>354513873.99000001</v>
      </c>
      <c r="G7" s="35">
        <v>0</v>
      </c>
      <c r="H7" s="35">
        <v>16374385</v>
      </c>
      <c r="I7" s="35">
        <v>589109.92000000004</v>
      </c>
      <c r="J7" s="35">
        <v>6017196.8300000001</v>
      </c>
      <c r="K7" s="35">
        <v>2593953472.98</v>
      </c>
    </row>
    <row r="8" spans="1:11" ht="15" customHeight="1">
      <c r="A8" s="34">
        <v>4</v>
      </c>
      <c r="B8" s="34" t="s">
        <v>145</v>
      </c>
      <c r="C8" s="35">
        <v>229130849.12</v>
      </c>
      <c r="D8" s="35">
        <v>7024.2</v>
      </c>
      <c r="E8" s="35">
        <v>360</v>
      </c>
      <c r="F8" s="35">
        <v>3568735.55</v>
      </c>
      <c r="G8" s="35">
        <v>0</v>
      </c>
      <c r="H8" s="35">
        <v>1043824</v>
      </c>
      <c r="I8" s="35">
        <v>84685</v>
      </c>
      <c r="J8" s="35">
        <v>38964479.619999997</v>
      </c>
      <c r="K8" s="35">
        <v>272799957.49000001</v>
      </c>
    </row>
    <row r="9" spans="1:11" ht="15" customHeight="1">
      <c r="A9" s="34">
        <v>5</v>
      </c>
      <c r="B9" s="34" t="s">
        <v>5</v>
      </c>
      <c r="C9" s="35">
        <v>224828301.09</v>
      </c>
      <c r="D9" s="35">
        <v>1100948.82</v>
      </c>
      <c r="E9" s="35">
        <v>69162.009999999995</v>
      </c>
      <c r="F9" s="35">
        <v>32851.339999999997</v>
      </c>
      <c r="G9" s="35">
        <v>0</v>
      </c>
      <c r="H9" s="35">
        <v>6727882.5</v>
      </c>
      <c r="I9" s="35">
        <v>96521.78</v>
      </c>
      <c r="J9" s="35">
        <v>1507359.23</v>
      </c>
      <c r="K9" s="35">
        <v>234363026.77000001</v>
      </c>
    </row>
    <row r="10" spans="1:11" ht="15" customHeight="1">
      <c r="A10" s="34">
        <v>6</v>
      </c>
      <c r="B10" s="34" t="s">
        <v>146</v>
      </c>
      <c r="C10" s="35">
        <v>93088768.859999999</v>
      </c>
      <c r="D10" s="35">
        <v>0</v>
      </c>
      <c r="E10" s="35">
        <v>0</v>
      </c>
      <c r="F10" s="35">
        <v>833815.28</v>
      </c>
      <c r="G10" s="35">
        <v>0</v>
      </c>
      <c r="H10" s="35">
        <v>302109.5</v>
      </c>
      <c r="I10" s="35">
        <v>89765.18</v>
      </c>
      <c r="J10" s="35">
        <v>4559629.57</v>
      </c>
      <c r="K10" s="35">
        <v>98874088.390000001</v>
      </c>
    </row>
    <row r="11" spans="1:11" ht="15" customHeight="1">
      <c r="A11" s="34">
        <v>7</v>
      </c>
      <c r="B11" s="34" t="s">
        <v>147</v>
      </c>
      <c r="C11" s="35">
        <v>2188369.91</v>
      </c>
      <c r="D11" s="35">
        <v>52177.62</v>
      </c>
      <c r="E11" s="35">
        <v>0</v>
      </c>
      <c r="F11" s="35">
        <v>239472.02</v>
      </c>
      <c r="G11" s="35">
        <v>0</v>
      </c>
      <c r="H11" s="35">
        <v>183965.5</v>
      </c>
      <c r="I11" s="35">
        <v>10954.81</v>
      </c>
      <c r="J11" s="35">
        <v>1881544.86</v>
      </c>
      <c r="K11" s="35">
        <v>4556484.72</v>
      </c>
    </row>
    <row r="12" spans="1:11" ht="15" customHeight="1">
      <c r="A12" s="34">
        <v>8</v>
      </c>
      <c r="B12" s="34" t="s">
        <v>148</v>
      </c>
      <c r="C12" s="35">
        <v>1346751.03</v>
      </c>
      <c r="D12" s="35">
        <v>29611.200000000001</v>
      </c>
      <c r="E12" s="35">
        <v>0</v>
      </c>
      <c r="F12" s="35">
        <v>0</v>
      </c>
      <c r="G12" s="35">
        <v>0</v>
      </c>
      <c r="H12" s="35">
        <v>0</v>
      </c>
      <c r="I12" s="35">
        <v>0</v>
      </c>
      <c r="J12" s="35">
        <v>12750.19</v>
      </c>
      <c r="K12" s="35">
        <v>1389112.42</v>
      </c>
    </row>
    <row r="13" spans="1:11" ht="15" customHeight="1">
      <c r="A13" s="34">
        <v>9</v>
      </c>
      <c r="B13" s="34" t="s">
        <v>149</v>
      </c>
      <c r="C13" s="35">
        <v>0</v>
      </c>
      <c r="D13" s="35">
        <v>3642101.75</v>
      </c>
      <c r="E13" s="35">
        <v>0</v>
      </c>
      <c r="F13" s="35">
        <v>384932.08</v>
      </c>
      <c r="G13" s="35">
        <v>0</v>
      </c>
      <c r="H13" s="35">
        <v>0</v>
      </c>
      <c r="I13" s="35">
        <v>46327.9</v>
      </c>
      <c r="J13" s="35">
        <v>55.4</v>
      </c>
      <c r="K13" s="35">
        <v>4073417.13</v>
      </c>
    </row>
    <row r="14" spans="1:11" ht="15" customHeight="1">
      <c r="A14" s="34">
        <v>10</v>
      </c>
      <c r="B14" s="34" t="s">
        <v>150</v>
      </c>
      <c r="C14" s="35">
        <v>5861599084.5100002</v>
      </c>
      <c r="D14" s="35">
        <v>29240933.859999999</v>
      </c>
      <c r="E14" s="35">
        <v>314596.63</v>
      </c>
      <c r="F14" s="35">
        <v>690643128.52999997</v>
      </c>
      <c r="G14" s="35">
        <v>0</v>
      </c>
      <c r="H14" s="35">
        <v>98282186</v>
      </c>
      <c r="I14" s="35">
        <v>807047.65</v>
      </c>
      <c r="J14" s="35">
        <v>69889794.930000007</v>
      </c>
      <c r="K14" s="35">
        <v>6750776772.1099997</v>
      </c>
    </row>
    <row r="15" spans="1:11" ht="15" customHeight="1">
      <c r="A15" s="34">
        <v>11</v>
      </c>
      <c r="B15" s="34" t="s">
        <v>151</v>
      </c>
      <c r="C15" s="35">
        <v>3535120.94</v>
      </c>
      <c r="D15" s="35">
        <v>81788.820000000007</v>
      </c>
      <c r="E15" s="35">
        <v>0</v>
      </c>
      <c r="F15" s="35">
        <v>239472.02</v>
      </c>
      <c r="G15" s="35">
        <v>0</v>
      </c>
      <c r="H15" s="35">
        <v>183965.5</v>
      </c>
      <c r="I15" s="35">
        <v>10954.81</v>
      </c>
      <c r="J15" s="35">
        <v>1894295.05</v>
      </c>
      <c r="K15" s="35">
        <v>5945597.1399999997</v>
      </c>
    </row>
    <row r="16" spans="1:11" ht="15" customHeight="1">
      <c r="A16" s="34">
        <v>12</v>
      </c>
      <c r="B16" s="34" t="s">
        <v>152</v>
      </c>
      <c r="C16" s="35">
        <v>78023457.159999996</v>
      </c>
      <c r="D16" s="35">
        <v>3642101.75</v>
      </c>
      <c r="E16" s="35">
        <v>0</v>
      </c>
      <c r="F16" s="35">
        <v>19656717.460000001</v>
      </c>
      <c r="G16" s="35">
        <v>0</v>
      </c>
      <c r="H16" s="35">
        <v>469841</v>
      </c>
      <c r="I16" s="35">
        <v>350003.68</v>
      </c>
      <c r="J16" s="35">
        <v>246024.09</v>
      </c>
      <c r="K16" s="35">
        <v>102388145.14</v>
      </c>
    </row>
    <row r="17" spans="1:11" ht="15" customHeight="1">
      <c r="A17" s="34">
        <v>13</v>
      </c>
      <c r="B17" s="34" t="s">
        <v>153</v>
      </c>
      <c r="C17" s="35">
        <v>5943157662.6099997</v>
      </c>
      <c r="D17" s="35">
        <v>32964824.43</v>
      </c>
      <c r="E17" s="35">
        <v>314596.63</v>
      </c>
      <c r="F17" s="35">
        <v>710539318.00999999</v>
      </c>
      <c r="G17" s="35">
        <v>0</v>
      </c>
      <c r="H17" s="35">
        <v>98935992.5</v>
      </c>
      <c r="I17" s="35">
        <v>1168006.1399999999</v>
      </c>
      <c r="J17" s="35">
        <v>72030114.069999993</v>
      </c>
      <c r="K17" s="35">
        <v>6859110514.3900003</v>
      </c>
    </row>
    <row r="18" spans="1:11" ht="15" customHeight="1">
      <c r="A18" s="33" t="s">
        <v>140</v>
      </c>
      <c r="B18" s="33"/>
      <c r="C18" s="33"/>
      <c r="D18" s="33"/>
      <c r="E18" s="33"/>
      <c r="F18" s="33"/>
      <c r="G18" s="33"/>
      <c r="H18" s="33"/>
      <c r="I18" s="33"/>
      <c r="J18" s="33"/>
      <c r="K18" s="33"/>
    </row>
    <row r="19" spans="1:11" ht="15" customHeight="1">
      <c r="A19" s="36" t="s">
        <v>154</v>
      </c>
      <c r="B19" s="36"/>
      <c r="C19" s="36"/>
      <c r="D19" s="36"/>
      <c r="E19" s="36"/>
      <c r="F19" s="36"/>
      <c r="G19" s="36"/>
      <c r="H19" s="36"/>
      <c r="I19" s="36"/>
      <c r="J19" s="36"/>
      <c r="K19" s="36"/>
    </row>
    <row r="20" spans="1:11" ht="15" customHeight="1">
      <c r="A20" s="33" t="s">
        <v>140</v>
      </c>
      <c r="B20" s="33"/>
      <c r="C20" s="33"/>
      <c r="D20" s="33"/>
      <c r="E20" s="33"/>
      <c r="F20" s="33"/>
      <c r="G20" s="33"/>
      <c r="H20" s="33"/>
      <c r="I20" s="33"/>
      <c r="J20" s="33"/>
      <c r="K20" s="33"/>
    </row>
    <row r="21" spans="1:11" ht="15" customHeight="1">
      <c r="A21" s="31" t="s">
        <v>129</v>
      </c>
      <c r="B21" s="31" t="s">
        <v>130</v>
      </c>
      <c r="C21" s="32" t="s">
        <v>155</v>
      </c>
      <c r="D21" s="32" t="s">
        <v>156</v>
      </c>
      <c r="E21" s="32" t="s">
        <v>157</v>
      </c>
      <c r="F21" s="32" t="s">
        <v>158</v>
      </c>
      <c r="G21" s="32" t="s">
        <v>159</v>
      </c>
      <c r="H21" s="32" t="s">
        <v>160</v>
      </c>
      <c r="I21" s="32" t="s">
        <v>161</v>
      </c>
      <c r="J21" s="32" t="s">
        <v>162</v>
      </c>
      <c r="K21" s="32" t="s">
        <v>163</v>
      </c>
    </row>
    <row r="22" spans="1:11" ht="15" customHeight="1">
      <c r="A22" s="33" t="s">
        <v>140</v>
      </c>
      <c r="B22" s="33"/>
      <c r="C22" s="33"/>
      <c r="D22" s="33"/>
      <c r="E22" s="33"/>
      <c r="F22" s="33"/>
      <c r="G22" s="33"/>
      <c r="H22" s="33"/>
      <c r="I22" s="33"/>
      <c r="J22" s="33"/>
      <c r="K22" s="33"/>
    </row>
    <row r="23" spans="1:11" ht="15" customHeight="1">
      <c r="A23" s="34">
        <v>1</v>
      </c>
      <c r="B23" s="34" t="s">
        <v>2</v>
      </c>
      <c r="C23" s="35">
        <v>1178560</v>
      </c>
      <c r="D23" s="35">
        <v>547896815</v>
      </c>
      <c r="E23" s="35">
        <v>108936347.28</v>
      </c>
      <c r="F23" s="35">
        <v>2277778320.7800002</v>
      </c>
      <c r="G23" s="35">
        <v>698827103.16999996</v>
      </c>
      <c r="H23" s="35">
        <v>0</v>
      </c>
      <c r="I23" s="35">
        <v>23878038.489999998</v>
      </c>
      <c r="J23" s="35">
        <v>6649459.6900000004</v>
      </c>
      <c r="K23" s="35">
        <v>3116069269.4099998</v>
      </c>
    </row>
    <row r="24" spans="1:11" ht="15" customHeight="1">
      <c r="A24" s="34">
        <v>2</v>
      </c>
      <c r="B24" s="34" t="s">
        <v>141</v>
      </c>
      <c r="C24" s="35">
        <v>10324</v>
      </c>
      <c r="D24" s="35">
        <v>12238984</v>
      </c>
      <c r="E24" s="35">
        <v>3352066.04</v>
      </c>
      <c r="F24" s="35">
        <v>49361466.770000003</v>
      </c>
      <c r="G24" s="35">
        <v>14977587.99</v>
      </c>
      <c r="H24" s="35">
        <v>0</v>
      </c>
      <c r="I24" s="35">
        <v>3186689.16</v>
      </c>
      <c r="J24" s="35">
        <v>211329.99</v>
      </c>
      <c r="K24" s="35">
        <v>71089139.950000003</v>
      </c>
    </row>
    <row r="25" spans="1:11" ht="15" customHeight="1">
      <c r="A25" s="34">
        <v>3</v>
      </c>
      <c r="B25" s="34" t="s">
        <v>142</v>
      </c>
      <c r="C25" s="35">
        <v>141223</v>
      </c>
      <c r="D25" s="35">
        <v>308942121</v>
      </c>
      <c r="E25" s="35">
        <v>209816323.53</v>
      </c>
      <c r="F25" s="35">
        <v>1506771323.96</v>
      </c>
      <c r="G25" s="35">
        <v>383974357.43000001</v>
      </c>
      <c r="H25" s="35">
        <v>243868.04</v>
      </c>
      <c r="I25" s="35">
        <v>12422367.029999999</v>
      </c>
      <c r="J25" s="35">
        <v>14164516.09</v>
      </c>
      <c r="K25" s="35">
        <v>2127392756.0799999</v>
      </c>
    </row>
    <row r="26" spans="1:11" ht="15" customHeight="1">
      <c r="A26" s="34"/>
      <c r="B26" s="34" t="s">
        <v>143</v>
      </c>
      <c r="C26" s="35">
        <v>4704</v>
      </c>
      <c r="D26" s="35">
        <v>8930434</v>
      </c>
      <c r="E26" s="35">
        <v>26180158.879999999</v>
      </c>
      <c r="F26" s="35">
        <v>41354591.560000002</v>
      </c>
      <c r="G26" s="35">
        <v>10417808.65</v>
      </c>
      <c r="H26" s="35">
        <v>0</v>
      </c>
      <c r="I26" s="35">
        <v>0</v>
      </c>
      <c r="J26" s="35">
        <v>70898.070000000007</v>
      </c>
      <c r="K26" s="35">
        <v>78023457.159999996</v>
      </c>
    </row>
    <row r="27" spans="1:11" ht="15" customHeight="1">
      <c r="A27" s="34"/>
      <c r="B27" s="34" t="s">
        <v>144</v>
      </c>
      <c r="C27" s="35">
        <v>145927</v>
      </c>
      <c r="D27" s="35">
        <v>317872555</v>
      </c>
      <c r="E27" s="35">
        <v>235996482.41</v>
      </c>
      <c r="F27" s="35">
        <v>1548125915.52</v>
      </c>
      <c r="G27" s="35">
        <v>394392166.07999998</v>
      </c>
      <c r="H27" s="35">
        <v>243868.04</v>
      </c>
      <c r="I27" s="35">
        <v>12422367.029999999</v>
      </c>
      <c r="J27" s="35">
        <v>14235414.16</v>
      </c>
      <c r="K27" s="35">
        <v>2205416213.2399998</v>
      </c>
    </row>
    <row r="28" spans="1:11" ht="15" customHeight="1">
      <c r="A28" s="34">
        <v>4</v>
      </c>
      <c r="B28" s="34" t="s">
        <v>145</v>
      </c>
      <c r="C28" s="35">
        <v>8003</v>
      </c>
      <c r="D28" s="35">
        <v>48527153</v>
      </c>
      <c r="E28" s="35">
        <v>1355207.11</v>
      </c>
      <c r="F28" s="35">
        <v>164401308.53999999</v>
      </c>
      <c r="G28" s="35">
        <v>58237665.729999997</v>
      </c>
      <c r="H28" s="35">
        <v>0</v>
      </c>
      <c r="I28" s="35">
        <v>2690678.79</v>
      </c>
      <c r="J28" s="35">
        <v>2445988.9500000002</v>
      </c>
      <c r="K28" s="35">
        <v>229130849.12</v>
      </c>
    </row>
    <row r="29" spans="1:11" ht="15" customHeight="1">
      <c r="A29" s="34">
        <v>5</v>
      </c>
      <c r="B29" s="34" t="s">
        <v>5</v>
      </c>
      <c r="C29" s="35">
        <v>64962</v>
      </c>
      <c r="D29" s="35">
        <v>168792969</v>
      </c>
      <c r="E29" s="35">
        <v>32021768.899999999</v>
      </c>
      <c r="F29" s="35">
        <v>186279271.38999999</v>
      </c>
      <c r="G29" s="35">
        <v>0</v>
      </c>
      <c r="H29" s="35">
        <v>0</v>
      </c>
      <c r="I29" s="35">
        <v>5083644.16</v>
      </c>
      <c r="J29" s="35">
        <v>1443616.64</v>
      </c>
      <c r="K29" s="35">
        <v>224828301.09</v>
      </c>
    </row>
    <row r="30" spans="1:11" ht="15" customHeight="1">
      <c r="A30" s="34">
        <v>6</v>
      </c>
      <c r="B30" s="34" t="s">
        <v>146</v>
      </c>
      <c r="C30" s="35">
        <v>4333</v>
      </c>
      <c r="D30" s="35">
        <v>15223858</v>
      </c>
      <c r="E30" s="35">
        <v>212629.18</v>
      </c>
      <c r="F30" s="35">
        <v>71319701.260000005</v>
      </c>
      <c r="G30" s="35">
        <v>20672610.43</v>
      </c>
      <c r="H30" s="35">
        <v>0</v>
      </c>
      <c r="I30" s="35">
        <v>303088.92</v>
      </c>
      <c r="J30" s="35">
        <v>580739.06999999995</v>
      </c>
      <c r="K30" s="35">
        <v>93088768.859999999</v>
      </c>
    </row>
    <row r="31" spans="1:11" ht="15" customHeight="1">
      <c r="A31" s="34">
        <v>7</v>
      </c>
      <c r="B31" s="34" t="s">
        <v>147</v>
      </c>
      <c r="C31" s="35">
        <v>75006</v>
      </c>
      <c r="D31" s="35">
        <v>254352</v>
      </c>
      <c r="E31" s="35">
        <v>0</v>
      </c>
      <c r="F31" s="35">
        <v>0</v>
      </c>
      <c r="G31" s="35">
        <v>0</v>
      </c>
      <c r="H31" s="35">
        <v>0</v>
      </c>
      <c r="I31" s="35">
        <v>0</v>
      </c>
      <c r="J31" s="35">
        <v>2188369.91</v>
      </c>
      <c r="K31" s="35">
        <v>2188369.91</v>
      </c>
    </row>
    <row r="32" spans="1:11" ht="15" customHeight="1">
      <c r="A32" s="34">
        <v>8</v>
      </c>
      <c r="B32" s="34" t="s">
        <v>148</v>
      </c>
      <c r="C32" s="35">
        <v>2231</v>
      </c>
      <c r="D32" s="35">
        <v>0</v>
      </c>
      <c r="E32" s="35">
        <v>1316135.1299999999</v>
      </c>
      <c r="F32" s="35">
        <v>5130</v>
      </c>
      <c r="G32" s="35">
        <v>0</v>
      </c>
      <c r="H32" s="35">
        <v>0</v>
      </c>
      <c r="I32" s="35">
        <v>0</v>
      </c>
      <c r="J32" s="35">
        <v>25485.9</v>
      </c>
      <c r="K32" s="35">
        <v>1346751.03</v>
      </c>
    </row>
    <row r="33" spans="1:11" ht="15" customHeight="1">
      <c r="A33" s="34">
        <v>9</v>
      </c>
      <c r="B33" s="34" t="s">
        <v>149</v>
      </c>
      <c r="C33" s="35">
        <v>255</v>
      </c>
      <c r="D33" s="35">
        <v>740096</v>
      </c>
      <c r="E33" s="35">
        <v>0</v>
      </c>
      <c r="F33" s="35">
        <v>0</v>
      </c>
      <c r="G33" s="35">
        <v>0</v>
      </c>
      <c r="H33" s="35">
        <v>0</v>
      </c>
      <c r="I33" s="35">
        <v>0</v>
      </c>
      <c r="J33" s="35">
        <v>0</v>
      </c>
      <c r="K33" s="35">
        <v>0</v>
      </c>
    </row>
    <row r="34" spans="1:11" ht="15" customHeight="1">
      <c r="A34" s="34">
        <v>10</v>
      </c>
      <c r="B34" s="34" t="s">
        <v>150</v>
      </c>
      <c r="C34" s="35">
        <v>1407405</v>
      </c>
      <c r="D34" s="35">
        <v>1101621900</v>
      </c>
      <c r="E34" s="35">
        <v>355694342.04000002</v>
      </c>
      <c r="F34" s="35">
        <v>4255911392.6999998</v>
      </c>
      <c r="G34" s="35">
        <v>1176689324.75</v>
      </c>
      <c r="H34" s="35">
        <v>243868.04</v>
      </c>
      <c r="I34" s="35">
        <v>47564506.549999997</v>
      </c>
      <c r="J34" s="35">
        <v>25495650.43</v>
      </c>
      <c r="K34" s="35">
        <v>5861599084.5100002</v>
      </c>
    </row>
    <row r="35" spans="1:11" ht="15" customHeight="1">
      <c r="A35" s="34">
        <v>11</v>
      </c>
      <c r="B35" s="34" t="s">
        <v>164</v>
      </c>
      <c r="C35" s="35">
        <v>77237</v>
      </c>
      <c r="D35" s="35">
        <v>254352</v>
      </c>
      <c r="E35" s="35">
        <v>1316135.1299999999</v>
      </c>
      <c r="F35" s="35">
        <v>5130</v>
      </c>
      <c r="G35" s="35">
        <v>0</v>
      </c>
      <c r="H35" s="35">
        <v>0</v>
      </c>
      <c r="I35" s="35">
        <v>0</v>
      </c>
      <c r="J35" s="35">
        <v>2213855.81</v>
      </c>
      <c r="K35" s="35">
        <v>3535120.94</v>
      </c>
    </row>
    <row r="36" spans="1:11" ht="15" customHeight="1">
      <c r="A36" s="34">
        <v>12</v>
      </c>
      <c r="B36" s="34" t="s">
        <v>152</v>
      </c>
      <c r="C36" s="35">
        <v>4959</v>
      </c>
      <c r="D36" s="35">
        <v>9670530</v>
      </c>
      <c r="E36" s="35">
        <v>26180158.879999999</v>
      </c>
      <c r="F36" s="35">
        <v>41354591.560000002</v>
      </c>
      <c r="G36" s="35">
        <v>10417808.65</v>
      </c>
      <c r="H36" s="35">
        <v>0</v>
      </c>
      <c r="I36" s="35">
        <v>0</v>
      </c>
      <c r="J36" s="35">
        <v>70898.070000000007</v>
      </c>
      <c r="K36" s="35">
        <v>78023457.159999996</v>
      </c>
    </row>
    <row r="37" spans="1:11" ht="15" customHeight="1">
      <c r="A37" s="34">
        <v>13</v>
      </c>
      <c r="B37" s="34" t="s">
        <v>153</v>
      </c>
      <c r="C37" s="35">
        <v>1489601</v>
      </c>
      <c r="D37" s="35">
        <v>1111546782</v>
      </c>
      <c r="E37" s="35">
        <v>383190636.05000001</v>
      </c>
      <c r="F37" s="35">
        <v>4297271114.2600002</v>
      </c>
      <c r="G37" s="35">
        <v>1187107133.4000001</v>
      </c>
      <c r="H37" s="35">
        <v>243868.04</v>
      </c>
      <c r="I37" s="35">
        <v>47564506.549999997</v>
      </c>
      <c r="J37" s="35">
        <v>27780404.309999999</v>
      </c>
      <c r="K37" s="35">
        <v>5943157662.6099997</v>
      </c>
    </row>
    <row r="38" spans="1:11" ht="15" customHeight="1">
      <c r="A38" s="33" t="s">
        <v>140</v>
      </c>
      <c r="B38" s="33"/>
      <c r="C38" s="33"/>
      <c r="D38" s="33"/>
      <c r="E38" s="33"/>
      <c r="F38" s="33"/>
      <c r="G38" s="33"/>
      <c r="H38" s="33"/>
      <c r="I38" s="33"/>
      <c r="J38" s="33"/>
      <c r="K38" s="33"/>
    </row>
    <row r="39" spans="1:11" ht="15" customHeight="1">
      <c r="A39" s="37"/>
      <c r="B39" s="37"/>
      <c r="C39" s="37"/>
      <c r="D39" s="37"/>
      <c r="E39" s="37"/>
      <c r="F39" s="37"/>
      <c r="G39" s="37"/>
      <c r="H39" s="37"/>
      <c r="I39" s="37"/>
      <c r="J39" s="37"/>
      <c r="K39" s="37"/>
    </row>
    <row r="40" spans="1:11" ht="15" customHeight="1">
      <c r="A40" s="37"/>
      <c r="B40" s="37"/>
      <c r="C40" s="37"/>
      <c r="D40" s="37"/>
      <c r="E40" s="37"/>
      <c r="F40" s="37"/>
      <c r="G40" s="37"/>
      <c r="H40" s="37"/>
      <c r="I40" s="37"/>
      <c r="J40" s="37"/>
      <c r="K40" s="37"/>
    </row>
    <row r="41" spans="1:11" ht="15" customHeight="1">
      <c r="A41" s="33" t="s">
        <v>165</v>
      </c>
      <c r="B41" s="33"/>
      <c r="C41" s="33"/>
      <c r="D41" s="33"/>
      <c r="E41" s="33"/>
      <c r="F41" s="33"/>
      <c r="G41" s="33"/>
      <c r="H41" s="33"/>
      <c r="I41" s="33"/>
      <c r="J41" s="33"/>
      <c r="K41" s="33"/>
    </row>
    <row r="42" spans="1:11" ht="15" customHeight="1">
      <c r="A42" s="36" t="s">
        <v>166</v>
      </c>
      <c r="B42" s="36"/>
      <c r="C42" s="36"/>
      <c r="D42" s="36"/>
      <c r="E42" s="36" t="s">
        <v>167</v>
      </c>
      <c r="F42" s="36"/>
      <c r="G42" s="36"/>
      <c r="H42" s="36"/>
      <c r="I42" s="36" t="s">
        <v>168</v>
      </c>
      <c r="J42" s="36"/>
      <c r="K42" s="36"/>
    </row>
    <row r="43" spans="1:11" ht="15" customHeight="1">
      <c r="A43" s="36" t="s">
        <v>169</v>
      </c>
      <c r="B43" s="36"/>
      <c r="C43" s="36" t="s">
        <v>170</v>
      </c>
      <c r="D43" s="36"/>
      <c r="E43" s="36"/>
      <c r="F43" s="36" t="s">
        <v>171</v>
      </c>
      <c r="G43" s="36"/>
      <c r="H43" s="36"/>
      <c r="I43" s="36" t="s">
        <v>172</v>
      </c>
      <c r="J43" s="36"/>
      <c r="K43" s="36"/>
    </row>
    <row r="44" spans="1:11" ht="15" customHeight="1">
      <c r="A44" s="33" t="s">
        <v>140</v>
      </c>
      <c r="B44" s="33"/>
      <c r="C44" s="33"/>
      <c r="D44" s="33"/>
      <c r="E44" s="33"/>
      <c r="F44" s="33"/>
      <c r="G44" s="33"/>
      <c r="H44" s="33"/>
      <c r="I44" s="33"/>
      <c r="J44" s="33"/>
      <c r="K44" s="33"/>
    </row>
    <row r="45" spans="1:11" ht="15" customHeight="1">
      <c r="A45" s="31" t="s">
        <v>129</v>
      </c>
      <c r="B45" s="31" t="s">
        <v>130</v>
      </c>
      <c r="C45" s="32" t="s">
        <v>155</v>
      </c>
      <c r="D45" s="32" t="s">
        <v>156</v>
      </c>
      <c r="E45" s="32" t="s">
        <v>173</v>
      </c>
      <c r="F45" s="32" t="s">
        <v>139</v>
      </c>
      <c r="G45" s="32" t="s">
        <v>174</v>
      </c>
      <c r="H45" s="32" t="s">
        <v>175</v>
      </c>
      <c r="I45" s="32" t="s">
        <v>176</v>
      </c>
      <c r="J45" s="32" t="s">
        <v>177</v>
      </c>
      <c r="K45" s="32" t="s">
        <v>178</v>
      </c>
    </row>
    <row r="46" spans="1:11" ht="15" customHeight="1">
      <c r="A46" s="33" t="s">
        <v>140</v>
      </c>
      <c r="B46" s="33"/>
      <c r="C46" s="33"/>
      <c r="D46" s="33"/>
      <c r="E46" s="33"/>
      <c r="F46" s="33"/>
      <c r="G46" s="33"/>
      <c r="H46" s="33"/>
      <c r="I46" s="33"/>
      <c r="J46" s="33"/>
      <c r="K46" s="33"/>
    </row>
    <row r="47" spans="1:11" ht="15" customHeight="1">
      <c r="A47" s="34">
        <v>1</v>
      </c>
      <c r="B47" s="34" t="s">
        <v>2</v>
      </c>
      <c r="C47" s="35">
        <v>2384733</v>
      </c>
      <c r="D47" s="35">
        <v>547896815</v>
      </c>
      <c r="E47" s="35">
        <v>471836346.87</v>
      </c>
      <c r="F47" s="35">
        <v>3569302120.1599998</v>
      </c>
      <c r="G47" s="35">
        <v>2878352034.8699999</v>
      </c>
      <c r="H47" s="35">
        <v>472789935.75</v>
      </c>
      <c r="I47" s="35">
        <v>-16439782.75</v>
      </c>
      <c r="J47" s="35">
        <v>0</v>
      </c>
      <c r="K47" s="35">
        <v>673556713.65999997</v>
      </c>
    </row>
    <row r="48" spans="1:11" ht="15" customHeight="1">
      <c r="A48" s="34">
        <v>2</v>
      </c>
      <c r="B48" s="34" t="s">
        <v>141</v>
      </c>
      <c r="C48" s="35">
        <v>19847</v>
      </c>
      <c r="D48" s="35">
        <v>12238984</v>
      </c>
      <c r="E48" s="35">
        <v>3230329.29</v>
      </c>
      <c r="F48" s="35">
        <v>79798834.329999998</v>
      </c>
      <c r="G48" s="35">
        <v>58956568.950000003</v>
      </c>
      <c r="H48" s="35">
        <v>15631265.26</v>
      </c>
      <c r="I48" s="35">
        <v>-114228.36</v>
      </c>
      <c r="J48" s="35">
        <v>0</v>
      </c>
      <c r="K48" s="35">
        <v>8327101.0499999998</v>
      </c>
    </row>
    <row r="49" spans="1:11" ht="15" customHeight="1">
      <c r="A49" s="34">
        <v>3</v>
      </c>
      <c r="B49" s="34" t="s">
        <v>142</v>
      </c>
      <c r="C49" s="35">
        <v>260627</v>
      </c>
      <c r="D49" s="35">
        <v>308942121</v>
      </c>
      <c r="E49" s="35">
        <v>-156257486.13999999</v>
      </c>
      <c r="F49" s="35">
        <v>2495638744.9699998</v>
      </c>
      <c r="G49" s="35">
        <v>2019579574.79</v>
      </c>
      <c r="H49" s="35">
        <v>371874649.10000002</v>
      </c>
      <c r="I49" s="35">
        <v>-2477774.7599999998</v>
      </c>
      <c r="J49" s="35">
        <v>0</v>
      </c>
      <c r="K49" s="35">
        <v>-54550739.82</v>
      </c>
    </row>
    <row r="50" spans="1:11" ht="15" customHeight="1">
      <c r="A50" s="34"/>
      <c r="B50" s="34" t="s">
        <v>143</v>
      </c>
      <c r="C50" s="35">
        <v>6576</v>
      </c>
      <c r="D50" s="35">
        <v>8930434</v>
      </c>
      <c r="E50" s="35">
        <v>23443054.57</v>
      </c>
      <c r="F50" s="35">
        <v>98314728.010000005</v>
      </c>
      <c r="G50" s="35">
        <v>91619956.280000001</v>
      </c>
      <c r="H50" s="35">
        <v>4758739.3</v>
      </c>
      <c r="I50" s="35">
        <v>0</v>
      </c>
      <c r="J50" s="35">
        <v>0</v>
      </c>
      <c r="K50" s="35">
        <v>25379087</v>
      </c>
    </row>
    <row r="51" spans="1:11" ht="15" customHeight="1">
      <c r="A51" s="34"/>
      <c r="B51" s="34" t="s">
        <v>144</v>
      </c>
      <c r="C51" s="35">
        <v>267203</v>
      </c>
      <c r="D51" s="35">
        <v>317872555</v>
      </c>
      <c r="E51" s="35">
        <v>-132814431.56999999</v>
      </c>
      <c r="F51" s="35">
        <v>2593953472.98</v>
      </c>
      <c r="G51" s="35">
        <v>2111199531.0699999</v>
      </c>
      <c r="H51" s="35">
        <v>376633388.39999998</v>
      </c>
      <c r="I51" s="35">
        <v>-2477774.7599999998</v>
      </c>
      <c r="J51" s="35">
        <v>0</v>
      </c>
      <c r="K51" s="35">
        <v>-29171652.82</v>
      </c>
    </row>
    <row r="52" spans="1:11" ht="15" customHeight="1">
      <c r="A52" s="34">
        <v>4</v>
      </c>
      <c r="B52" s="34" t="s">
        <v>145</v>
      </c>
      <c r="C52" s="35">
        <v>13492</v>
      </c>
      <c r="D52" s="35">
        <v>48527153</v>
      </c>
      <c r="E52" s="35">
        <v>979163001.65999997</v>
      </c>
      <c r="F52" s="35">
        <v>272799957.49000001</v>
      </c>
      <c r="G52" s="35">
        <v>78442734.340000004</v>
      </c>
      <c r="H52" s="35">
        <v>152753672.34</v>
      </c>
      <c r="I52" s="35">
        <v>200807.96</v>
      </c>
      <c r="J52" s="35">
        <v>0</v>
      </c>
      <c r="K52" s="35">
        <v>1020967360.4299999</v>
      </c>
    </row>
    <row r="53" spans="1:11" ht="15" customHeight="1">
      <c r="A53" s="34">
        <v>5</v>
      </c>
      <c r="B53" s="34" t="s">
        <v>5</v>
      </c>
      <c r="C53" s="35">
        <v>99192</v>
      </c>
      <c r="D53" s="35">
        <v>168792969</v>
      </c>
      <c r="E53" s="35">
        <v>-22582241.07</v>
      </c>
      <c r="F53" s="35">
        <v>234363026.77000001</v>
      </c>
      <c r="G53" s="35">
        <v>168649386.06</v>
      </c>
      <c r="H53" s="35">
        <v>27290415.550000001</v>
      </c>
      <c r="I53" s="35">
        <v>-796393.56</v>
      </c>
      <c r="J53" s="35">
        <v>0</v>
      </c>
      <c r="K53" s="35">
        <v>15044590.529999999</v>
      </c>
    </row>
    <row r="54" spans="1:11" ht="15" customHeight="1">
      <c r="A54" s="34">
        <v>6</v>
      </c>
      <c r="B54" s="34" t="s">
        <v>146</v>
      </c>
      <c r="C54" s="35">
        <v>6456</v>
      </c>
      <c r="D54" s="35">
        <v>15223858</v>
      </c>
      <c r="E54" s="35">
        <v>113139182.73999999</v>
      </c>
      <c r="F54" s="35">
        <v>98874088.390000001</v>
      </c>
      <c r="G54" s="35">
        <v>71694102.209999993</v>
      </c>
      <c r="H54" s="35">
        <v>16941795.59</v>
      </c>
      <c r="I54" s="35">
        <v>-146960.23000000001</v>
      </c>
      <c r="J54" s="35">
        <v>0</v>
      </c>
      <c r="K54" s="35">
        <v>123230413.09999999</v>
      </c>
    </row>
    <row r="55" spans="1:11" ht="15" customHeight="1">
      <c r="A55" s="34">
        <v>7</v>
      </c>
      <c r="B55" s="34" t="s">
        <v>147</v>
      </c>
      <c r="C55" s="35">
        <v>135936</v>
      </c>
      <c r="D55" s="35">
        <v>254352</v>
      </c>
      <c r="E55" s="35">
        <v>282473331.19</v>
      </c>
      <c r="F55" s="35">
        <v>4556484.72</v>
      </c>
      <c r="G55" s="35">
        <v>9439530.5</v>
      </c>
      <c r="H55" s="35">
        <v>2520494.13</v>
      </c>
      <c r="I55" s="35">
        <v>19784981.780000001</v>
      </c>
      <c r="J55" s="35">
        <v>0</v>
      </c>
      <c r="K55" s="35">
        <v>294854773.06</v>
      </c>
    </row>
    <row r="56" spans="1:11" ht="15" customHeight="1">
      <c r="A56" s="34">
        <v>8</v>
      </c>
      <c r="B56" s="34" t="s">
        <v>148</v>
      </c>
      <c r="C56" s="35">
        <v>4324</v>
      </c>
      <c r="D56" s="35">
        <v>0</v>
      </c>
      <c r="E56" s="35">
        <v>1332331.42</v>
      </c>
      <c r="F56" s="35">
        <v>1389112.42</v>
      </c>
      <c r="G56" s="35">
        <v>567985.43999999994</v>
      </c>
      <c r="H56" s="35">
        <v>568145.06000000006</v>
      </c>
      <c r="I56" s="35">
        <v>-10650.08</v>
      </c>
      <c r="J56" s="35">
        <v>0</v>
      </c>
      <c r="K56" s="35">
        <v>1574663.26</v>
      </c>
    </row>
    <row r="57" spans="1:11" ht="15" customHeight="1">
      <c r="A57" s="34">
        <v>9</v>
      </c>
      <c r="B57" s="34" t="s">
        <v>149</v>
      </c>
      <c r="C57" s="35">
        <v>2216</v>
      </c>
      <c r="D57" s="35">
        <v>740096</v>
      </c>
      <c r="E57" s="35">
        <v>53130210.409999996</v>
      </c>
      <c r="F57" s="35">
        <v>4073417.13</v>
      </c>
      <c r="G57" s="35">
        <v>3613576.49</v>
      </c>
      <c r="H57" s="35">
        <v>-29470.62</v>
      </c>
      <c r="I57" s="35">
        <v>0</v>
      </c>
      <c r="J57" s="35">
        <v>0</v>
      </c>
      <c r="K57" s="35">
        <v>53619521.670000002</v>
      </c>
    </row>
    <row r="58" spans="1:11" ht="15" customHeight="1">
      <c r="A58" s="34">
        <v>10</v>
      </c>
      <c r="B58" s="34" t="s">
        <v>179</v>
      </c>
      <c r="C58" s="35">
        <v>0</v>
      </c>
      <c r="D58" s="35">
        <v>0</v>
      </c>
      <c r="E58" s="35">
        <v>-747024.08</v>
      </c>
      <c r="F58" s="35">
        <v>0</v>
      </c>
      <c r="G58" s="35">
        <v>806193.65</v>
      </c>
      <c r="H58" s="35">
        <v>-910101.61</v>
      </c>
      <c r="I58" s="35">
        <v>0</v>
      </c>
      <c r="J58" s="35">
        <v>0</v>
      </c>
      <c r="K58" s="35">
        <v>-643116.12</v>
      </c>
    </row>
    <row r="59" spans="1:11" ht="15" customHeight="1">
      <c r="A59" s="34">
        <v>11</v>
      </c>
      <c r="B59" s="34" t="s">
        <v>180</v>
      </c>
      <c r="C59" s="35">
        <v>2784347</v>
      </c>
      <c r="D59" s="35">
        <v>1101621900</v>
      </c>
      <c r="E59" s="35">
        <v>1387782109.27</v>
      </c>
      <c r="F59" s="35">
        <v>6750776772.1099997</v>
      </c>
      <c r="G59" s="35">
        <v>5276480594.8699999</v>
      </c>
      <c r="H59" s="35">
        <v>1056371631.98</v>
      </c>
      <c r="I59" s="35">
        <v>-19774331.699999999</v>
      </c>
      <c r="J59" s="35">
        <v>0</v>
      </c>
      <c r="K59" s="35">
        <v>1785932322.8299999</v>
      </c>
    </row>
    <row r="60" spans="1:11" ht="15" customHeight="1">
      <c r="A60" s="34">
        <v>12</v>
      </c>
      <c r="B60" s="34" t="s">
        <v>164</v>
      </c>
      <c r="C60" s="35">
        <v>140260</v>
      </c>
      <c r="D60" s="35">
        <v>254352</v>
      </c>
      <c r="E60" s="35">
        <v>283805662.61000001</v>
      </c>
      <c r="F60" s="35">
        <v>5945597.1399999997</v>
      </c>
      <c r="G60" s="35">
        <v>10007515.939999999</v>
      </c>
      <c r="H60" s="35">
        <v>3088639.19</v>
      </c>
      <c r="I60" s="35">
        <v>19774331.699999999</v>
      </c>
      <c r="J60" s="35">
        <v>0</v>
      </c>
      <c r="K60" s="35">
        <v>296429436.31999999</v>
      </c>
    </row>
    <row r="61" spans="1:11" ht="15" customHeight="1">
      <c r="A61" s="34">
        <v>13</v>
      </c>
      <c r="B61" s="34" t="s">
        <v>152</v>
      </c>
      <c r="C61" s="35">
        <v>8792</v>
      </c>
      <c r="D61" s="35">
        <v>9670530</v>
      </c>
      <c r="E61" s="35">
        <v>76573264.980000004</v>
      </c>
      <c r="F61" s="35">
        <v>102388145.14</v>
      </c>
      <c r="G61" s="35">
        <v>95233532.769999996</v>
      </c>
      <c r="H61" s="35">
        <v>4729268.68</v>
      </c>
      <c r="I61" s="35">
        <v>0</v>
      </c>
      <c r="J61" s="35">
        <v>0</v>
      </c>
      <c r="K61" s="35">
        <v>78998608.670000002</v>
      </c>
    </row>
    <row r="62" spans="1:11" ht="15" customHeight="1">
      <c r="A62" s="34">
        <v>14</v>
      </c>
      <c r="B62" s="34" t="s">
        <v>153</v>
      </c>
      <c r="C62" s="35">
        <v>2933399</v>
      </c>
      <c r="D62" s="35">
        <v>1111546782</v>
      </c>
      <c r="E62" s="35">
        <v>1748161036.8599999</v>
      </c>
      <c r="F62" s="35">
        <v>6859110514.3900003</v>
      </c>
      <c r="G62" s="35">
        <v>5381721643.5799999</v>
      </c>
      <c r="H62" s="35">
        <v>1064189539.85</v>
      </c>
      <c r="I62" s="35">
        <v>0</v>
      </c>
      <c r="J62" s="35">
        <v>0</v>
      </c>
      <c r="K62" s="35">
        <v>2161360367.8200002</v>
      </c>
    </row>
    <row r="63" spans="1:11" ht="15" customHeight="1">
      <c r="A63" s="33" t="s">
        <v>140</v>
      </c>
      <c r="B63" s="33"/>
      <c r="C63" s="33"/>
      <c r="D63" s="33"/>
      <c r="E63" s="33"/>
      <c r="F63" s="33"/>
      <c r="G63" s="33"/>
      <c r="H63" s="33"/>
      <c r="I63" s="33"/>
      <c r="J63" s="33"/>
      <c r="K63" s="33"/>
    </row>
    <row r="64" spans="1:11" ht="15" customHeight="1">
      <c r="A64" s="33" t="s">
        <v>181</v>
      </c>
      <c r="B64" s="33"/>
      <c r="C64" s="33"/>
      <c r="D64" s="33"/>
      <c r="E64" s="33"/>
      <c r="F64" s="33"/>
      <c r="G64" s="33"/>
      <c r="H64" s="33"/>
      <c r="I64" s="33"/>
      <c r="J64" s="33"/>
      <c r="K64" s="33"/>
    </row>
    <row r="65" spans="1:11" ht="15" customHeight="1">
      <c r="A65" s="33" t="s">
        <v>140</v>
      </c>
      <c r="B65" s="33"/>
      <c r="C65" s="33"/>
      <c r="D65" s="33"/>
      <c r="E65" s="33"/>
      <c r="F65" s="33"/>
      <c r="G65" s="33"/>
      <c r="H65" s="33"/>
      <c r="I65" s="33"/>
      <c r="J65" s="33"/>
      <c r="K65" s="33"/>
    </row>
    <row r="66" spans="1:11" ht="15" customHeight="1">
      <c r="A66" s="31" t="s">
        <v>129</v>
      </c>
      <c r="B66" s="31" t="s">
        <v>130</v>
      </c>
      <c r="C66" s="32" t="s">
        <v>179</v>
      </c>
      <c r="D66" s="32" t="s">
        <v>182</v>
      </c>
      <c r="E66" s="32" t="s">
        <v>183</v>
      </c>
      <c r="F66" s="32" t="s">
        <v>184</v>
      </c>
      <c r="G66" s="32" t="s">
        <v>185</v>
      </c>
      <c r="H66" s="32" t="s">
        <v>186</v>
      </c>
      <c r="I66" s="32" t="s">
        <v>187</v>
      </c>
      <c r="J66" s="32" t="s">
        <v>188</v>
      </c>
      <c r="K66" s="35"/>
    </row>
    <row r="67" spans="1:11" ht="15" customHeight="1">
      <c r="A67" s="34"/>
      <c r="B67" s="34"/>
      <c r="C67" s="32" t="s">
        <v>189</v>
      </c>
      <c r="D67" s="32" t="s">
        <v>190</v>
      </c>
      <c r="E67" s="32" t="s">
        <v>191</v>
      </c>
      <c r="F67" s="32" t="s">
        <v>192</v>
      </c>
      <c r="G67" s="32" t="s">
        <v>193</v>
      </c>
      <c r="H67" s="32" t="s">
        <v>163</v>
      </c>
      <c r="I67" s="32" t="s">
        <v>194</v>
      </c>
      <c r="J67" s="32" t="s">
        <v>195</v>
      </c>
      <c r="K67" s="32" t="s">
        <v>144</v>
      </c>
    </row>
    <row r="68" spans="1:11" ht="15" customHeight="1">
      <c r="A68" s="33" t="s">
        <v>140</v>
      </c>
      <c r="B68" s="33"/>
      <c r="C68" s="33"/>
      <c r="D68" s="33"/>
      <c r="E68" s="33"/>
      <c r="F68" s="33"/>
      <c r="G68" s="33"/>
      <c r="H68" s="33"/>
      <c r="I68" s="33"/>
      <c r="J68" s="33"/>
      <c r="K68" s="33"/>
    </row>
    <row r="69" spans="1:11" ht="15" customHeight="1">
      <c r="A69" s="34">
        <v>1</v>
      </c>
      <c r="B69" s="34" t="s">
        <v>2</v>
      </c>
      <c r="C69" s="35">
        <v>676896.21</v>
      </c>
      <c r="D69" s="35">
        <v>396889374.73000002</v>
      </c>
      <c r="E69" s="35">
        <v>52620828.579999998</v>
      </c>
      <c r="F69" s="35">
        <v>-11156.78</v>
      </c>
      <c r="G69" s="35">
        <v>22613993.010000002</v>
      </c>
      <c r="H69" s="35">
        <v>0</v>
      </c>
      <c r="I69" s="35">
        <v>0</v>
      </c>
      <c r="J69" s="35">
        <v>0</v>
      </c>
      <c r="K69" s="35">
        <v>472789935.75</v>
      </c>
    </row>
    <row r="70" spans="1:11" ht="15" customHeight="1">
      <c r="A70" s="34">
        <v>2</v>
      </c>
      <c r="B70" s="34" t="s">
        <v>141</v>
      </c>
      <c r="C70" s="35">
        <v>510</v>
      </c>
      <c r="D70" s="35">
        <v>3998473.44</v>
      </c>
      <c r="E70" s="35">
        <v>2756635.8</v>
      </c>
      <c r="F70" s="35">
        <v>0</v>
      </c>
      <c r="G70" s="35">
        <v>1144315.07</v>
      </c>
      <c r="H70" s="35">
        <v>7701400.0800000001</v>
      </c>
      <c r="I70" s="35">
        <v>0</v>
      </c>
      <c r="J70" s="35">
        <v>29930.87</v>
      </c>
      <c r="K70" s="35">
        <v>15631265.26</v>
      </c>
    </row>
    <row r="71" spans="1:11" ht="15" customHeight="1">
      <c r="A71" s="34">
        <v>3</v>
      </c>
      <c r="B71" s="34" t="s">
        <v>142</v>
      </c>
      <c r="C71" s="35">
        <v>213935.94</v>
      </c>
      <c r="D71" s="35">
        <v>169089710.22999999</v>
      </c>
      <c r="E71" s="35">
        <v>70601060.400000006</v>
      </c>
      <c r="F71" s="35">
        <v>120635842.39</v>
      </c>
      <c r="G71" s="35">
        <v>11334100.140000001</v>
      </c>
      <c r="H71" s="35">
        <v>0</v>
      </c>
      <c r="I71" s="35">
        <v>0</v>
      </c>
      <c r="J71" s="35">
        <v>0</v>
      </c>
      <c r="K71" s="35">
        <v>371874649.10000002</v>
      </c>
    </row>
    <row r="72" spans="1:11" ht="15" customHeight="1">
      <c r="A72" s="34"/>
      <c r="B72" s="34" t="s">
        <v>143</v>
      </c>
      <c r="C72" s="35"/>
      <c r="D72" s="35">
        <v>1889298.78</v>
      </c>
      <c r="E72" s="35">
        <v>2864053.84</v>
      </c>
      <c r="F72" s="35">
        <v>5386.68</v>
      </c>
      <c r="G72" s="35"/>
      <c r="H72" s="35"/>
      <c r="I72" s="35"/>
      <c r="J72" s="35"/>
      <c r="K72" s="35">
        <v>4758739.3</v>
      </c>
    </row>
    <row r="73" spans="1:11" ht="15" customHeight="1">
      <c r="A73" s="34"/>
      <c r="B73" s="34" t="s">
        <v>144</v>
      </c>
      <c r="C73" s="35">
        <v>213935.94</v>
      </c>
      <c r="D73" s="35">
        <v>170979009.00999999</v>
      </c>
      <c r="E73" s="35">
        <v>73465114.239999995</v>
      </c>
      <c r="F73" s="35">
        <v>120641229.06999999</v>
      </c>
      <c r="G73" s="35">
        <v>11334100.140000001</v>
      </c>
      <c r="H73" s="35">
        <v>0</v>
      </c>
      <c r="I73" s="35">
        <v>0</v>
      </c>
      <c r="J73" s="35">
        <v>0</v>
      </c>
      <c r="K73" s="35">
        <v>376633388.39999998</v>
      </c>
    </row>
    <row r="74" spans="1:11" ht="15" customHeight="1">
      <c r="A74" s="34">
        <v>4</v>
      </c>
      <c r="B74" s="34" t="s">
        <v>145</v>
      </c>
      <c r="C74" s="35">
        <v>0</v>
      </c>
      <c r="D74" s="35">
        <v>11034658.880000001</v>
      </c>
      <c r="E74" s="35">
        <v>4158318.73</v>
      </c>
      <c r="F74" s="35">
        <v>4259002.55</v>
      </c>
      <c r="G74" s="35">
        <v>2660400.7999999998</v>
      </c>
      <c r="H74" s="35">
        <v>130641291.38</v>
      </c>
      <c r="I74" s="35">
        <v>0</v>
      </c>
      <c r="J74" s="35">
        <v>0</v>
      </c>
      <c r="K74" s="35">
        <v>152753672.34</v>
      </c>
    </row>
    <row r="75" spans="1:11" ht="15" customHeight="1">
      <c r="A75" s="34">
        <v>5</v>
      </c>
      <c r="B75" s="34" t="s">
        <v>5</v>
      </c>
      <c r="C75" s="35">
        <v>3944</v>
      </c>
      <c r="D75" s="35">
        <v>7038904.7400000002</v>
      </c>
      <c r="E75" s="35">
        <v>16782524.280000001</v>
      </c>
      <c r="F75" s="35">
        <v>0</v>
      </c>
      <c r="G75" s="35">
        <v>3465042.53</v>
      </c>
      <c r="H75" s="35">
        <v>0</v>
      </c>
      <c r="I75" s="35">
        <v>0</v>
      </c>
      <c r="J75" s="35">
        <v>0</v>
      </c>
      <c r="K75" s="35">
        <v>27290415.550000001</v>
      </c>
    </row>
    <row r="76" spans="1:11" ht="15" customHeight="1">
      <c r="A76" s="34">
        <v>6</v>
      </c>
      <c r="B76" s="34" t="s">
        <v>146</v>
      </c>
      <c r="C76" s="35">
        <v>14815.46</v>
      </c>
      <c r="D76" s="35">
        <v>14875892.949999999</v>
      </c>
      <c r="E76" s="35">
        <v>1945850.05</v>
      </c>
      <c r="F76" s="35">
        <v>-36525.760000000002</v>
      </c>
      <c r="G76" s="35">
        <v>141762.89000000001</v>
      </c>
      <c r="H76" s="35">
        <v>0</v>
      </c>
      <c r="I76" s="35">
        <v>0</v>
      </c>
      <c r="J76" s="35">
        <v>0</v>
      </c>
      <c r="K76" s="35">
        <v>16941795.59</v>
      </c>
    </row>
    <row r="77" spans="1:11" ht="15" customHeight="1">
      <c r="A77" s="34">
        <v>7</v>
      </c>
      <c r="B77" s="34" t="s">
        <v>147</v>
      </c>
      <c r="C77" s="35">
        <v>0</v>
      </c>
      <c r="D77" s="35">
        <v>1409218.22</v>
      </c>
      <c r="E77" s="35">
        <v>1097712.6200000001</v>
      </c>
      <c r="F77" s="35">
        <v>1805.77</v>
      </c>
      <c r="G77" s="35">
        <v>0</v>
      </c>
      <c r="H77" s="35">
        <v>658.4</v>
      </c>
      <c r="I77" s="35">
        <v>0</v>
      </c>
      <c r="J77" s="35">
        <v>11099.12</v>
      </c>
      <c r="K77" s="35">
        <v>2520494.13</v>
      </c>
    </row>
    <row r="78" spans="1:11" ht="15" customHeight="1">
      <c r="A78" s="34">
        <v>8</v>
      </c>
      <c r="B78" s="34" t="s">
        <v>148</v>
      </c>
      <c r="C78" s="35">
        <v>0</v>
      </c>
      <c r="D78" s="35">
        <v>1704.02</v>
      </c>
      <c r="E78" s="35">
        <v>549022.04</v>
      </c>
      <c r="F78" s="35">
        <v>17419</v>
      </c>
      <c r="G78" s="35">
        <v>0</v>
      </c>
      <c r="H78" s="35">
        <v>0</v>
      </c>
      <c r="I78" s="35">
        <v>0</v>
      </c>
      <c r="J78" s="35">
        <v>0</v>
      </c>
      <c r="K78" s="35">
        <v>568145.06000000006</v>
      </c>
    </row>
    <row r="79" spans="1:11" ht="15" customHeight="1">
      <c r="A79" s="34">
        <v>9</v>
      </c>
      <c r="B79" s="34" t="s">
        <v>149</v>
      </c>
      <c r="C79" s="35"/>
      <c r="D79" s="35">
        <v>4579.8</v>
      </c>
      <c r="E79" s="35">
        <v>-34050.42</v>
      </c>
      <c r="F79" s="35">
        <v>0</v>
      </c>
      <c r="G79" s="35"/>
      <c r="H79" s="35"/>
      <c r="I79" s="35"/>
      <c r="J79" s="35"/>
      <c r="K79" s="35">
        <v>-29470.62</v>
      </c>
    </row>
    <row r="80" spans="1:11" ht="15" customHeight="1">
      <c r="A80" s="34">
        <v>10</v>
      </c>
      <c r="B80" s="34" t="s">
        <v>179</v>
      </c>
      <c r="C80" s="35">
        <v>-910101.61</v>
      </c>
      <c r="D80" s="35">
        <v>0</v>
      </c>
      <c r="E80" s="35">
        <v>0</v>
      </c>
      <c r="F80" s="35">
        <v>0</v>
      </c>
      <c r="G80" s="35">
        <v>0</v>
      </c>
      <c r="H80" s="35">
        <v>0</v>
      </c>
      <c r="I80" s="35">
        <v>0</v>
      </c>
      <c r="J80" s="35">
        <v>0</v>
      </c>
      <c r="K80" s="35">
        <v>-910101.61</v>
      </c>
    </row>
    <row r="81" spans="1:13" ht="15" customHeight="1">
      <c r="A81" s="34">
        <v>11</v>
      </c>
      <c r="B81" s="34" t="s">
        <v>150</v>
      </c>
      <c r="C81" s="35">
        <v>0</v>
      </c>
      <c r="D81" s="35">
        <v>602927014.97000003</v>
      </c>
      <c r="E81" s="35">
        <v>148865217.84</v>
      </c>
      <c r="F81" s="35">
        <v>124847162.40000001</v>
      </c>
      <c r="G81" s="35">
        <v>41359614.439999998</v>
      </c>
      <c r="H81" s="35">
        <v>138342691.46000001</v>
      </c>
      <c r="I81" s="35">
        <v>0</v>
      </c>
      <c r="J81" s="35">
        <v>29930.87</v>
      </c>
      <c r="K81" s="35">
        <v>1056371631.98</v>
      </c>
    </row>
    <row r="82" spans="1:13" ht="15" customHeight="1">
      <c r="A82" s="34">
        <v>12</v>
      </c>
      <c r="B82" s="34" t="s">
        <v>164</v>
      </c>
      <c r="C82" s="35">
        <v>0</v>
      </c>
      <c r="D82" s="35">
        <v>1410922.24</v>
      </c>
      <c r="E82" s="35">
        <v>1646734.66</v>
      </c>
      <c r="F82" s="35">
        <v>19224.77</v>
      </c>
      <c r="G82" s="35">
        <v>0</v>
      </c>
      <c r="H82" s="35">
        <v>658.4</v>
      </c>
      <c r="I82" s="35">
        <v>0</v>
      </c>
      <c r="J82" s="35">
        <v>11099.12</v>
      </c>
      <c r="K82" s="35">
        <v>3088639.19</v>
      </c>
    </row>
    <row r="83" spans="1:13" ht="15" customHeight="1">
      <c r="A83" s="34">
        <v>13</v>
      </c>
      <c r="B83" s="34" t="s">
        <v>152</v>
      </c>
      <c r="C83" s="35">
        <v>0</v>
      </c>
      <c r="D83" s="35">
        <v>1893878.58</v>
      </c>
      <c r="E83" s="35">
        <v>2830003.42</v>
      </c>
      <c r="F83" s="35">
        <v>5386.68</v>
      </c>
      <c r="G83" s="35">
        <v>0</v>
      </c>
      <c r="H83" s="35">
        <v>0</v>
      </c>
      <c r="I83" s="35">
        <v>0</v>
      </c>
      <c r="J83" s="35">
        <v>0</v>
      </c>
      <c r="K83" s="35">
        <v>4729268.68</v>
      </c>
    </row>
    <row r="84" spans="1:13" ht="15" customHeight="1">
      <c r="A84" s="34">
        <v>14</v>
      </c>
      <c r="B84" s="34" t="s">
        <v>153</v>
      </c>
      <c r="C84" s="35">
        <v>0</v>
      </c>
      <c r="D84" s="35">
        <v>606231815.78999996</v>
      </c>
      <c r="E84" s="35">
        <v>153341955.91999999</v>
      </c>
      <c r="F84" s="35">
        <v>124871773.84999999</v>
      </c>
      <c r="G84" s="35">
        <v>41359614.439999998</v>
      </c>
      <c r="H84" s="35">
        <v>138343349.86000001</v>
      </c>
      <c r="I84" s="35">
        <v>0</v>
      </c>
      <c r="J84" s="35">
        <v>41029.99</v>
      </c>
      <c r="K84" s="35">
        <v>1064189539.85</v>
      </c>
    </row>
    <row r="85" spans="1:13" ht="15" customHeight="1">
      <c r="A85" s="33" t="s">
        <v>140</v>
      </c>
      <c r="B85" s="33"/>
      <c r="C85" s="33"/>
      <c r="D85" s="33"/>
      <c r="E85" s="33"/>
      <c r="F85" s="33"/>
      <c r="G85" s="33"/>
      <c r="H85" s="33"/>
      <c r="I85" s="33"/>
      <c r="J85" s="33"/>
      <c r="K85" s="33"/>
    </row>
    <row r="93" spans="1:13" ht="15" customHeight="1">
      <c r="B93" s="38" t="s">
        <v>196</v>
      </c>
      <c r="C93" s="38"/>
      <c r="D93" s="38"/>
      <c r="E93" s="38"/>
      <c r="F93" s="38"/>
    </row>
    <row r="94" spans="1:13" ht="15" customHeight="1">
      <c r="B94" s="39"/>
      <c r="C94" s="39"/>
      <c r="D94" s="39"/>
      <c r="E94" s="39"/>
      <c r="F94" s="39"/>
    </row>
    <row r="95" spans="1:13" ht="15" customHeight="1">
      <c r="B95" s="38" t="s">
        <v>197</v>
      </c>
      <c r="C95" s="38"/>
      <c r="D95" s="38"/>
      <c r="E95" s="38"/>
      <c r="F95" s="38"/>
      <c r="G95" s="38"/>
      <c r="H95" s="38"/>
      <c r="I95" s="38"/>
      <c r="J95" s="38"/>
      <c r="K95" s="38"/>
      <c r="L95" s="38"/>
      <c r="M95" s="38"/>
    </row>
    <row r="96" spans="1:13" ht="15" customHeight="1">
      <c r="B96" s="40" t="s">
        <v>198</v>
      </c>
      <c r="C96" s="41" t="s">
        <v>199</v>
      </c>
      <c r="D96" s="39" t="s">
        <v>200</v>
      </c>
      <c r="E96" s="39" t="s">
        <v>201</v>
      </c>
      <c r="F96" s="39" t="s">
        <v>202</v>
      </c>
      <c r="G96" s="39" t="s">
        <v>203</v>
      </c>
      <c r="H96" s="39" t="s">
        <v>204</v>
      </c>
      <c r="I96" s="39" t="s">
        <v>205</v>
      </c>
      <c r="J96" s="39" t="s">
        <v>206</v>
      </c>
      <c r="K96" s="39" t="s">
        <v>207</v>
      </c>
      <c r="L96" s="39" t="s">
        <v>208</v>
      </c>
      <c r="M96" s="39"/>
    </row>
    <row r="97" spans="2:13" ht="15" customHeight="1">
      <c r="B97" s="38" t="s">
        <v>197</v>
      </c>
      <c r="C97" s="38"/>
      <c r="D97" s="38"/>
      <c r="E97" s="38"/>
      <c r="F97" s="38"/>
      <c r="G97" s="38"/>
      <c r="H97" s="38"/>
      <c r="I97" s="38"/>
      <c r="J97" s="38"/>
      <c r="K97" s="38"/>
      <c r="L97" s="38"/>
      <c r="M97" s="38"/>
    </row>
    <row r="98" spans="2:13" ht="15" customHeight="1">
      <c r="B98" s="40">
        <v>1</v>
      </c>
      <c r="C98" s="41" t="s">
        <v>209</v>
      </c>
      <c r="D98" s="39">
        <v>692603720.38999999</v>
      </c>
      <c r="E98" s="39">
        <v>4495794941.0500002</v>
      </c>
      <c r="F98" s="39">
        <v>228089997.05000001</v>
      </c>
      <c r="G98" s="39">
        <v>1203211432.4200001</v>
      </c>
      <c r="H98" s="39">
        <v>0</v>
      </c>
      <c r="I98" s="39">
        <v>6730906.5899999999</v>
      </c>
      <c r="J98" s="39">
        <v>53726118.039999999</v>
      </c>
      <c r="K98" s="39">
        <v>-63618893.590000004</v>
      </c>
      <c r="L98" s="39">
        <v>-11142206.23</v>
      </c>
      <c r="M98" s="39"/>
    </row>
    <row r="99" spans="2:13" ht="15" customHeight="1">
      <c r="B99" s="40">
        <v>2</v>
      </c>
      <c r="C99" s="41" t="s">
        <v>210</v>
      </c>
      <c r="D99" s="39">
        <v>46307680</v>
      </c>
      <c r="E99" s="39">
        <v>454218764.30000001</v>
      </c>
      <c r="F99" s="39">
        <v>0</v>
      </c>
      <c r="G99" s="39">
        <v>109229986.54000001</v>
      </c>
      <c r="H99" s="39">
        <v>0</v>
      </c>
      <c r="I99" s="39">
        <v>0</v>
      </c>
      <c r="J99" s="39">
        <v>0</v>
      </c>
      <c r="K99" s="39">
        <v>-7437025.4000000004</v>
      </c>
      <c r="L99" s="39">
        <v>-4542187.6399999997</v>
      </c>
      <c r="M99" s="39"/>
    </row>
    <row r="100" spans="2:13" ht="15" customHeight="1">
      <c r="B100" s="40">
        <v>3</v>
      </c>
      <c r="C100" s="41" t="s">
        <v>211</v>
      </c>
      <c r="D100" s="39">
        <v>469560</v>
      </c>
      <c r="E100" s="39">
        <v>490835.9</v>
      </c>
      <c r="F100" s="39">
        <v>0</v>
      </c>
      <c r="G100" s="39">
        <v>0</v>
      </c>
      <c r="H100" s="39">
        <v>0</v>
      </c>
      <c r="I100" s="39">
        <v>37123.879999999997</v>
      </c>
      <c r="J100" s="39">
        <v>0</v>
      </c>
      <c r="K100" s="39">
        <v>-2045.39</v>
      </c>
      <c r="L100" s="39">
        <v>0</v>
      </c>
      <c r="M100" s="39"/>
    </row>
    <row r="101" spans="2:13" ht="15" customHeight="1">
      <c r="B101" s="40">
        <v>4</v>
      </c>
      <c r="C101" s="41" t="s">
        <v>212</v>
      </c>
      <c r="D101" s="39">
        <v>0</v>
      </c>
      <c r="E101" s="39">
        <v>0</v>
      </c>
      <c r="F101" s="39">
        <v>0</v>
      </c>
      <c r="G101" s="39">
        <v>0</v>
      </c>
      <c r="H101" s="39">
        <v>0</v>
      </c>
      <c r="I101" s="39">
        <v>0</v>
      </c>
      <c r="J101" s="39">
        <v>0</v>
      </c>
      <c r="K101" s="39">
        <v>0</v>
      </c>
      <c r="L101" s="39">
        <v>0</v>
      </c>
      <c r="M101" s="39"/>
    </row>
    <row r="102" spans="2:13" ht="15" customHeight="1">
      <c r="B102" s="40">
        <v>5</v>
      </c>
      <c r="C102" s="41" t="s">
        <v>213</v>
      </c>
      <c r="D102" s="39">
        <v>0</v>
      </c>
      <c r="E102" s="39">
        <v>0</v>
      </c>
      <c r="F102" s="39">
        <v>0</v>
      </c>
      <c r="G102" s="39">
        <v>0</v>
      </c>
      <c r="H102" s="39">
        <v>0</v>
      </c>
      <c r="I102" s="39">
        <v>0</v>
      </c>
      <c r="J102" s="39">
        <v>0</v>
      </c>
      <c r="K102" s="39">
        <v>0</v>
      </c>
      <c r="L102" s="39">
        <v>0</v>
      </c>
      <c r="M102" s="39"/>
    </row>
    <row r="103" spans="2:13" ht="15" customHeight="1">
      <c r="B103" s="40">
        <v>6</v>
      </c>
      <c r="C103" s="41" t="s">
        <v>214</v>
      </c>
      <c r="D103" s="39">
        <v>0</v>
      </c>
      <c r="E103" s="39">
        <v>0</v>
      </c>
      <c r="F103" s="39">
        <v>0</v>
      </c>
      <c r="G103" s="39">
        <v>0</v>
      </c>
      <c r="H103" s="39">
        <v>0</v>
      </c>
      <c r="I103" s="39">
        <v>0</v>
      </c>
      <c r="J103" s="39">
        <v>0</v>
      </c>
      <c r="K103" s="39">
        <v>0</v>
      </c>
      <c r="L103" s="39">
        <v>0</v>
      </c>
      <c r="M103" s="39"/>
    </row>
    <row r="104" spans="2:13" ht="15" customHeight="1">
      <c r="B104" s="40">
        <v>7</v>
      </c>
      <c r="C104" s="41" t="s">
        <v>215</v>
      </c>
      <c r="D104" s="39">
        <v>0</v>
      </c>
      <c r="E104" s="39">
        <v>0</v>
      </c>
      <c r="F104" s="39">
        <v>0</v>
      </c>
      <c r="G104" s="39">
        <v>0</v>
      </c>
      <c r="H104" s="39">
        <v>0</v>
      </c>
      <c r="I104" s="39">
        <v>0</v>
      </c>
      <c r="J104" s="39">
        <v>0</v>
      </c>
      <c r="K104" s="39">
        <v>0</v>
      </c>
      <c r="L104" s="39">
        <v>0</v>
      </c>
      <c r="M104" s="39"/>
    </row>
    <row r="105" spans="2:13" ht="15" customHeight="1">
      <c r="B105" s="40">
        <v>8</v>
      </c>
      <c r="C105" s="41" t="s">
        <v>216</v>
      </c>
      <c r="D105" s="39">
        <v>0</v>
      </c>
      <c r="E105" s="39">
        <v>0</v>
      </c>
      <c r="F105" s="39">
        <v>0</v>
      </c>
      <c r="G105" s="39">
        <v>0</v>
      </c>
      <c r="H105" s="39">
        <v>0</v>
      </c>
      <c r="I105" s="39">
        <v>0</v>
      </c>
      <c r="J105" s="39">
        <v>186372.62</v>
      </c>
      <c r="K105" s="39">
        <v>0</v>
      </c>
      <c r="L105" s="39">
        <v>0</v>
      </c>
      <c r="M105" s="39"/>
    </row>
    <row r="106" spans="2:13" ht="15" customHeight="1">
      <c r="B106" s="40">
        <v>9</v>
      </c>
      <c r="C106" s="41" t="s">
        <v>148</v>
      </c>
      <c r="D106" s="39">
        <v>9967895.7400000002</v>
      </c>
      <c r="E106" s="39">
        <v>0</v>
      </c>
      <c r="F106" s="39">
        <v>0</v>
      </c>
      <c r="G106" s="39">
        <v>0</v>
      </c>
      <c r="H106" s="39">
        <v>0</v>
      </c>
      <c r="I106" s="39">
        <v>0</v>
      </c>
      <c r="J106" s="39">
        <v>200288</v>
      </c>
      <c r="K106" s="39">
        <v>0</v>
      </c>
      <c r="L106" s="39">
        <v>0</v>
      </c>
      <c r="M106" s="39"/>
    </row>
    <row r="107" spans="2:13" ht="15" customHeight="1">
      <c r="B107" s="40">
        <v>10</v>
      </c>
      <c r="C107" s="41" t="s">
        <v>217</v>
      </c>
      <c r="D107" s="39">
        <v>1710700</v>
      </c>
      <c r="E107" s="39">
        <v>12852778</v>
      </c>
      <c r="F107" s="39">
        <v>380456.65</v>
      </c>
      <c r="G107" s="39">
        <v>3556151.92</v>
      </c>
      <c r="H107" s="39">
        <v>0</v>
      </c>
      <c r="I107" s="39">
        <v>384611.36</v>
      </c>
      <c r="J107" s="39">
        <v>0</v>
      </c>
      <c r="K107" s="39">
        <v>-84009.48</v>
      </c>
      <c r="L107" s="39">
        <v>0</v>
      </c>
      <c r="M107" s="39"/>
    </row>
    <row r="108" spans="2:13" ht="15" customHeight="1">
      <c r="B108" s="38" t="s">
        <v>197</v>
      </c>
      <c r="C108" s="38"/>
      <c r="D108" s="38"/>
      <c r="E108" s="38"/>
      <c r="F108" s="38"/>
      <c r="G108" s="38"/>
      <c r="H108" s="38"/>
      <c r="I108" s="38"/>
      <c r="J108" s="38"/>
      <c r="K108" s="38"/>
      <c r="L108" s="38"/>
      <c r="M108" s="38"/>
    </row>
    <row r="109" spans="2:13" ht="15" customHeight="1">
      <c r="B109" s="42" t="s">
        <v>218</v>
      </c>
      <c r="C109" s="42"/>
      <c r="D109" s="39">
        <v>751059556.13</v>
      </c>
      <c r="E109" s="39">
        <v>4963357319.25</v>
      </c>
      <c r="F109" s="39">
        <v>228470453.69999999</v>
      </c>
      <c r="G109" s="39">
        <v>1315997570.8800001</v>
      </c>
      <c r="H109" s="39">
        <v>0</v>
      </c>
      <c r="I109" s="39">
        <v>7152641.8300000001</v>
      </c>
      <c r="J109" s="39">
        <v>54112778.659999996</v>
      </c>
      <c r="K109" s="39">
        <v>-71141973.859999999</v>
      </c>
      <c r="L109" s="39">
        <v>-15684393.869999999</v>
      </c>
      <c r="M109" s="39"/>
    </row>
    <row r="110" spans="2:13" ht="15" customHeight="1">
      <c r="B110" s="38" t="s">
        <v>197</v>
      </c>
      <c r="C110" s="38"/>
      <c r="D110" s="38"/>
      <c r="E110" s="38"/>
      <c r="F110" s="38"/>
      <c r="G110" s="38"/>
      <c r="H110" s="38"/>
      <c r="I110" s="38"/>
      <c r="J110" s="38"/>
      <c r="K110" s="38"/>
      <c r="L110" s="38"/>
      <c r="M110" s="3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SHEET-1</vt:lpstr>
      <vt:lpstr>SHEET-2</vt:lpstr>
      <vt:lpstr>SHEET-3</vt:lpstr>
      <vt:lpstr>SHEET-4</vt:lpstr>
      <vt:lpstr>SHEET-5</vt:lpstr>
      <vt:lpstr>SHEET-6</vt:lpstr>
      <vt:lpstr>SHEET-7</vt:lpstr>
      <vt:lpstr>T&amp;D</vt:lpstr>
      <vt:lpstr>LAB</vt:lpstr>
      <vt:lpstr>Sheet1</vt:lpstr>
      <vt:lpstr>LAB!Print_Area</vt:lpstr>
      <vt:lpstr>'SHEET-1'!Print_Area</vt:lpstr>
      <vt:lpstr>'SHEET-3'!Print_Area</vt:lpstr>
      <vt:lpstr>'SHEET-4'!Print_Area</vt:lpstr>
      <vt:lpstr>'SHEET-5'!Print_Area</vt:lpstr>
      <vt:lpstr>'SHEET-6'!Print_Area</vt:lpstr>
      <vt:lpstr>'SHEET-7'!Print_Area</vt:lpstr>
      <vt:lpstr>'T&amp;D'!Print_Area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ujparikh3442</cp:lastModifiedBy>
  <cp:lastPrinted>2021-04-19T06:06:23Z</cp:lastPrinted>
  <dcterms:created xsi:type="dcterms:W3CDTF">1996-10-14T23:33:28Z</dcterms:created>
  <dcterms:modified xsi:type="dcterms:W3CDTF">2021-04-19T06:12:34Z</dcterms:modified>
</cp:coreProperties>
</file>